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schulman\Documents\cts1\TEACH\Econ Data Analysis\S24\"/>
    </mc:Choice>
  </mc:AlternateContent>
  <xr:revisionPtr revIDLastSave="0" documentId="8_{D7EC7390-DFB9-45C6-B528-0A5C5F7ECB60}" xr6:coauthVersionLast="47" xr6:coauthVersionMax="47" xr10:uidLastSave="{00000000-0000-0000-0000-000000000000}"/>
  <bookViews>
    <workbookView xWindow="28680" yWindow="-120" windowWidth="29040" windowHeight="15840" activeTab="1" xr2:uid="{C68EF28D-1F97-4200-BCFA-CD97ABBF2B37}"/>
  </bookViews>
  <sheets>
    <sheet name="Problems" sheetId="1" r:id="rId1"/>
    <sheet name="Solu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0" i="1" l="1"/>
  <c r="E89" i="1"/>
  <c r="D89" i="1" s="1"/>
  <c r="E166" i="2"/>
  <c r="B166" i="2" s="1"/>
  <c r="B165" i="2"/>
  <c r="E161" i="2"/>
  <c r="B160" i="2" s="1"/>
  <c r="B162" i="2" l="1"/>
  <c r="B161" i="2"/>
  <c r="B148" i="2"/>
  <c r="D149" i="2"/>
  <c r="B149" i="2" s="1"/>
  <c r="B137" i="2"/>
  <c r="E136" i="2"/>
  <c r="D133" i="2"/>
  <c r="B136" i="2" s="1"/>
  <c r="B61" i="2"/>
  <c r="E119" i="2"/>
  <c r="D124" i="2" s="1"/>
  <c r="B125" i="2" s="1"/>
  <c r="E114" i="2"/>
  <c r="B124" i="2" s="1"/>
  <c r="F108" i="2"/>
  <c r="D108" i="2"/>
  <c r="B110" i="2" s="1"/>
  <c r="B99" i="2"/>
  <c r="B98" i="2"/>
  <c r="E98" i="2"/>
  <c r="B93" i="2"/>
  <c r="B95" i="2" s="1"/>
  <c r="E91" i="2"/>
  <c r="E78" i="2"/>
  <c r="B81" i="2" s="1"/>
  <c r="E77" i="2"/>
  <c r="B80" i="2" s="1"/>
  <c r="B70" i="2"/>
  <c r="E68" i="2"/>
  <c r="B71" i="2" s="1"/>
  <c r="B60" i="2"/>
  <c r="B62" i="2" s="1"/>
  <c r="E58" i="2"/>
  <c r="B50" i="2"/>
  <c r="E48" i="2"/>
  <c r="B51" i="2" s="1"/>
  <c r="D37" i="2"/>
  <c r="B39" i="2" s="1"/>
  <c r="B29" i="2"/>
  <c r="B28" i="2"/>
  <c r="F28" i="2"/>
  <c r="B23" i="2"/>
  <c r="E21" i="2"/>
  <c r="B24" i="2" s="1"/>
  <c r="E10" i="2"/>
  <c r="B12" i="2" s="1"/>
  <c r="B41" i="2" l="1"/>
  <c r="B40" i="2"/>
  <c r="B13" i="2"/>
  <c r="B14" i="2"/>
  <c r="B119" i="2"/>
  <c r="B94" i="2"/>
  <c r="B121" i="2" l="1"/>
  <c r="B120" i="2"/>
</calcChain>
</file>

<file path=xl/sharedStrings.xml><?xml version="1.0" encoding="utf-8"?>
<sst xmlns="http://schemas.openxmlformats.org/spreadsheetml/2006/main" count="343" uniqueCount="110">
  <si>
    <t>Problems will be very similar to those that follow.</t>
  </si>
  <si>
    <t>Answers</t>
  </si>
  <si>
    <t>ECMT 461 Exam 2 Example Problems</t>
  </si>
  <si>
    <t>Exam 2 will be administered online in Canvas and you will solve all problems in Excel.  You may use any empty space to the right of the "Answers" column B for intermediate calculations.  If you do not show your formulas, we can not give partial credit.</t>
  </si>
  <si>
    <t xml:space="preserve">Sample mean X-Bar = </t>
  </si>
  <si>
    <t xml:space="preserve">Sample size n = </t>
  </si>
  <si>
    <t>a. Margin of Error ME =</t>
  </si>
  <si>
    <t>b. Lower Confidence Limit LCL =</t>
  </si>
  <si>
    <t>c. Upper Confidence Limit UCL =</t>
  </si>
  <si>
    <t xml:space="preserve">a. Test Statistic = </t>
  </si>
  <si>
    <t xml:space="preserve">b. Critical value = </t>
  </si>
  <si>
    <t>c. Conclusion</t>
  </si>
  <si>
    <t>&lt;== Note:  It is up to you to determine whether to use a Z-calc, t-cal, chi-square-calc, etc</t>
  </si>
  <si>
    <t>&lt;== Note: "Critical vale" refers to the appropriate Z-alpha, Z-alpha/2, t-alpha, t-alpha/2, etc</t>
  </si>
  <si>
    <t>&lt;== Your conclusion should be either "Reject H0" or "Fail to Reject H0"</t>
  </si>
  <si>
    <t xml:space="preserve">Sample Standard Deviation S = </t>
  </si>
  <si>
    <t xml:space="preserve">Sample Proportion over 30 P-Hat = </t>
  </si>
  <si>
    <t>Sample size n =</t>
  </si>
  <si>
    <t>Construct a 95% confidence interval (α=5%) for the population proportion P.</t>
  </si>
  <si>
    <t>5. During the 2020 MLB baseball season, among a sample of 750 pitchers, 33% were over the age of 30</t>
  </si>
  <si>
    <t>6. During the 2020 MLB baseball season, among a sample of 750 pitchers, 33% were over the age of 30</t>
  </si>
  <si>
    <t>7. The performance index for an internet search algorithm is known to follow a normal distribution.  A random sample 17 searches yields the following results:</t>
  </si>
  <si>
    <t>a. Lower Confidence Limit LCL =</t>
  </si>
  <si>
    <t>b. Upper Confidence Limit UCL =</t>
  </si>
  <si>
    <t xml:space="preserve">Sample 1 Mean X-Bar = </t>
  </si>
  <si>
    <t xml:space="preserve">Sample 2 Mean Y-Bar = </t>
  </si>
  <si>
    <t xml:space="preserve">Significance level α = </t>
  </si>
  <si>
    <t>Construct a 90% confidence interval (α=10%) for the population mean µ.</t>
  </si>
  <si>
    <t xml:space="preserve">Provide a test of the hypopthesis H0: µ=27.5 versus the alternative HA: µ&lt;27.5 at a significance level of α=0.05. </t>
  </si>
  <si>
    <t xml:space="preserve">Provide a test of the hypopthesis H0: µ=27.5 versus the alternative HA: µ≠27.5 at a significance level of α=0.05. </t>
  </si>
  <si>
    <t>Construct a 95% confidence interval (α=5%) for the population mean µ.</t>
  </si>
  <si>
    <t xml:space="preserve">Provide a test of the hypopthesis H0: µ=75 versus the alternative HA: µ&gt;75 at a significance level of α=0.05. </t>
  </si>
  <si>
    <t xml:space="preserve">Provide a test of the hypopthesis H0: P=0.3 versus the alternative HA: µ≠0.3 at a significance level of α=0.05. </t>
  </si>
  <si>
    <r>
      <t xml:space="preserve">1. A sample taken from a normal population with a </t>
    </r>
    <r>
      <rPr>
        <b/>
        <sz val="12"/>
        <color theme="1"/>
        <rFont val="Times New Roman"/>
        <family val="1"/>
      </rPr>
      <t xml:space="preserve">known </t>
    </r>
    <r>
      <rPr>
        <sz val="12"/>
        <color theme="1"/>
        <rFont val="Times New Roman"/>
        <family val="1"/>
      </rPr>
      <t>variance yields the following information:</t>
    </r>
  </si>
  <si>
    <r>
      <t>Population variance σ</t>
    </r>
    <r>
      <rPr>
        <vertAlign val="superscript"/>
        <sz val="12"/>
        <color theme="1"/>
        <rFont val="Times New Roman"/>
        <family val="1"/>
      </rPr>
      <t>2</t>
    </r>
    <r>
      <rPr>
        <sz val="12"/>
        <color theme="1"/>
        <rFont val="Times New Roman"/>
        <family val="1"/>
      </rPr>
      <t xml:space="preserve"> = </t>
    </r>
  </si>
  <si>
    <r>
      <t xml:space="preserve">2. A sample taken from a normal population with a </t>
    </r>
    <r>
      <rPr>
        <b/>
        <sz val="12"/>
        <color theme="1"/>
        <rFont val="Times New Roman"/>
        <family val="1"/>
      </rPr>
      <t xml:space="preserve">known </t>
    </r>
    <r>
      <rPr>
        <sz val="12"/>
        <color theme="1"/>
        <rFont val="Times New Roman"/>
        <family val="1"/>
      </rPr>
      <t>variance yields the following information:</t>
    </r>
  </si>
  <si>
    <r>
      <t xml:space="preserve">3. A sample taken from a normal population with a </t>
    </r>
    <r>
      <rPr>
        <b/>
        <sz val="12"/>
        <color theme="1"/>
        <rFont val="Times New Roman"/>
        <family val="1"/>
      </rPr>
      <t xml:space="preserve">unknown </t>
    </r>
    <r>
      <rPr>
        <sz val="12"/>
        <color theme="1"/>
        <rFont val="Times New Roman"/>
        <family val="1"/>
      </rPr>
      <t>variance yields the following information:</t>
    </r>
  </si>
  <si>
    <r>
      <t xml:space="preserve">4. A sample taken from a normal population with a </t>
    </r>
    <r>
      <rPr>
        <b/>
        <sz val="12"/>
        <color theme="1"/>
        <rFont val="Times New Roman"/>
        <family val="1"/>
      </rPr>
      <t xml:space="preserve">unknown </t>
    </r>
    <r>
      <rPr>
        <sz val="12"/>
        <color theme="1"/>
        <rFont val="Times New Roman"/>
        <family val="1"/>
      </rPr>
      <t>variance yields the following information:</t>
    </r>
  </si>
  <si>
    <r>
      <t>Construct a 98% confidence interval (α=0.02) for the population Population variance σ</t>
    </r>
    <r>
      <rPr>
        <vertAlign val="superscript"/>
        <sz val="12"/>
        <color theme="1"/>
        <rFont val="Times New Roman"/>
        <family val="1"/>
      </rPr>
      <t>2</t>
    </r>
    <r>
      <rPr>
        <sz val="12"/>
        <color theme="1"/>
        <rFont val="Times New Roman"/>
        <family val="1"/>
      </rPr>
      <t xml:space="preserve"> .</t>
    </r>
  </si>
  <si>
    <r>
      <t>Sample 1 Population variance σ</t>
    </r>
    <r>
      <rPr>
        <vertAlign val="superscript"/>
        <sz val="12"/>
        <color theme="1"/>
        <rFont val="Times New Roman"/>
        <family val="1"/>
      </rPr>
      <t>2</t>
    </r>
    <r>
      <rPr>
        <vertAlign val="subscript"/>
        <sz val="12"/>
        <color theme="1"/>
        <rFont val="Times New Roman"/>
        <family val="1"/>
      </rPr>
      <t>X</t>
    </r>
    <r>
      <rPr>
        <sz val="12"/>
        <color theme="1"/>
        <rFont val="Times New Roman"/>
        <family val="1"/>
      </rPr>
      <t xml:space="preserve"> = </t>
    </r>
  </si>
  <si>
    <r>
      <t>Sample 1 observations n</t>
    </r>
    <r>
      <rPr>
        <vertAlign val="subscript"/>
        <sz val="12"/>
        <color theme="1"/>
        <rFont val="Times New Roman"/>
        <family val="1"/>
      </rPr>
      <t>x</t>
    </r>
    <r>
      <rPr>
        <sz val="12"/>
        <color theme="1"/>
        <rFont val="Times New Roman"/>
        <family val="1"/>
      </rPr>
      <t xml:space="preserve"> = </t>
    </r>
  </si>
  <si>
    <r>
      <t>Sample 1 Population variance σ</t>
    </r>
    <r>
      <rPr>
        <vertAlign val="superscript"/>
        <sz val="12"/>
        <color theme="1"/>
        <rFont val="Times New Roman"/>
        <family val="1"/>
      </rPr>
      <t>2</t>
    </r>
    <r>
      <rPr>
        <vertAlign val="subscript"/>
        <sz val="12"/>
        <color theme="1"/>
        <rFont val="Times New Roman"/>
        <family val="1"/>
      </rPr>
      <t>y</t>
    </r>
    <r>
      <rPr>
        <sz val="12"/>
        <color theme="1"/>
        <rFont val="Times New Roman"/>
        <family val="1"/>
      </rPr>
      <t xml:space="preserve"> = </t>
    </r>
  </si>
  <si>
    <r>
      <t>Sample 2 observations n</t>
    </r>
    <r>
      <rPr>
        <vertAlign val="subscript"/>
        <sz val="12"/>
        <color theme="1"/>
        <rFont val="Times New Roman"/>
        <family val="1"/>
      </rPr>
      <t>y</t>
    </r>
    <r>
      <rPr>
        <sz val="12"/>
        <color theme="1"/>
        <rFont val="Times New Roman"/>
        <family val="1"/>
      </rPr>
      <t xml:space="preserve"> = </t>
    </r>
  </si>
  <si>
    <r>
      <t>Construct a 95% confidence interval (α=5%) for the the difference in population means µ</t>
    </r>
    <r>
      <rPr>
        <vertAlign val="subscript"/>
        <sz val="12"/>
        <color theme="1"/>
        <rFont val="Times New Roman"/>
        <family val="1"/>
      </rPr>
      <t>x</t>
    </r>
    <r>
      <rPr>
        <sz val="12"/>
        <color theme="1"/>
        <rFont val="Times New Roman"/>
        <family val="1"/>
      </rPr>
      <t xml:space="preserve"> - µ</t>
    </r>
    <r>
      <rPr>
        <vertAlign val="subscript"/>
        <sz val="12"/>
        <color theme="1"/>
        <rFont val="Times New Roman"/>
        <family val="1"/>
      </rPr>
      <t>y</t>
    </r>
    <r>
      <rPr>
        <sz val="12"/>
        <color theme="1"/>
        <rFont val="Times New Roman"/>
        <family val="1"/>
      </rPr>
      <t>.</t>
    </r>
  </si>
  <si>
    <t>9. Using the same information provided for question 8, provide a test of the hyppothesis that there is no difference in the population means, H0:  µx - µy = 0, versus the alternative that the mean for Sample 1 is less than that for Sample 2, HA: µx - µy &lt; 0</t>
  </si>
  <si>
    <r>
      <t xml:space="preserve">8. A controlled test of the driving distance (in yards) for two different golf balls is conducted.  Assuming normal populations with </t>
    </r>
    <r>
      <rPr>
        <b/>
        <sz val="12"/>
        <color theme="1"/>
        <rFont val="Times New Roman"/>
        <family val="1"/>
      </rPr>
      <t xml:space="preserve">known </t>
    </r>
    <r>
      <rPr>
        <sz val="12"/>
        <color theme="1"/>
        <rFont val="Times New Roman"/>
        <family val="1"/>
      </rPr>
      <t>variances, you are provided the following information</t>
    </r>
  </si>
  <si>
    <t>Econ Sample size =</t>
  </si>
  <si>
    <t>Econ Sample Standard Deviation =</t>
  </si>
  <si>
    <r>
      <t xml:space="preserve">10. Random samples of Economics and Political Science majors are administered a standardized math exam and you are provided the information below.  Assume the </t>
    </r>
    <r>
      <rPr>
        <b/>
        <sz val="12"/>
        <color theme="1"/>
        <rFont val="Times New Roman"/>
        <family val="1"/>
      </rPr>
      <t>unknown</t>
    </r>
    <r>
      <rPr>
        <sz val="12"/>
        <color theme="1"/>
        <rFont val="Times New Roman"/>
        <family val="1"/>
      </rPr>
      <t xml:space="preserve"> population variances are equal.</t>
    </r>
  </si>
  <si>
    <t>Poli. Sci Sample size =</t>
  </si>
  <si>
    <t>Poli. Sci Sample Standard Deviation =</t>
  </si>
  <si>
    <t>Critical difference (X-Bar  - Y-Bar)</t>
  </si>
  <si>
    <t>How large must the difference in sample means (Econ Sample mean minus Poli Sci Sample mean) be to reject the null that there is no difference in the population means in favor of the alternative that Econ majors have a higher mean?</t>
  </si>
  <si>
    <t>Sample Means</t>
  </si>
  <si>
    <t>Rural</t>
  </si>
  <si>
    <t>Urban</t>
  </si>
  <si>
    <t>Sample Standard Deviations</t>
  </si>
  <si>
    <r>
      <t xml:space="preserve">11. Among a random sample of Rural Texas Counties and a second random sample of Urban Texas Counties, the sample statistics in the table below are computed for Alcohol Sales per person.  In the questions that follow, assume the </t>
    </r>
    <r>
      <rPr>
        <b/>
        <sz val="12"/>
        <color theme="1"/>
        <rFont val="Times New Roman"/>
        <family val="1"/>
      </rPr>
      <t xml:space="preserve">unknown </t>
    </r>
    <r>
      <rPr>
        <sz val="12"/>
        <color theme="1"/>
        <rFont val="Times New Roman"/>
        <family val="1"/>
      </rPr>
      <t>population variances across the two samples are equal to one another.</t>
    </r>
  </si>
  <si>
    <t>Sample sizes</t>
  </si>
  <si>
    <r>
      <t>Construct a 95% confidence interval (</t>
    </r>
    <r>
      <rPr>
        <sz val="12"/>
        <color theme="1"/>
        <rFont val="Calibri"/>
        <family val="2"/>
      </rPr>
      <t>α</t>
    </r>
    <r>
      <rPr>
        <sz val="12"/>
        <color theme="1"/>
        <rFont val="Times New Roman"/>
        <family val="1"/>
      </rPr>
      <t xml:space="preserve"> = 5%) for the difference in the Rural versus Urban sample means (Rural mean minus the Urban mean).  </t>
    </r>
  </si>
  <si>
    <t>Test the null hypothesis that the difference in means is zero (Rural mean minus Urban mean equals zero), versus the alternative hypothesis that the difference is not zero at a confidence level of 95%  (α = 5%).</t>
  </si>
  <si>
    <t xml:space="preserve">Practice 1 Sample Proportion P-Hat-1 = </t>
  </si>
  <si>
    <t xml:space="preserve">Practice 1 Sample size n1 = </t>
  </si>
  <si>
    <t xml:space="preserve">Practice 2 Sample Proportion P-Hat-2 = </t>
  </si>
  <si>
    <t xml:space="preserve">Practice 2 Sample size n2 = </t>
  </si>
  <si>
    <t>Test the null hypothesis there is no difference in the proportions (that the difference is zero) versus the alternative hypothesis that they are different (the difference is not zero).</t>
  </si>
  <si>
    <t xml:space="preserve">12. Two different medical practices in the same community service a certain proportion of patients with government sponsored health insurance (e.g. Medicare/Medicaid).  You are given the following information, </t>
  </si>
  <si>
    <t>13. Among random samples of Rural Texas High Schools and City Texas High Schools, you are provided the following information on the variance of SAT scores within the samples</t>
  </si>
  <si>
    <t xml:space="preserve">Rural Sample Size = </t>
  </si>
  <si>
    <t xml:space="preserve">Rural Sample Variance = </t>
  </si>
  <si>
    <t xml:space="preserve">City Sample Size = </t>
  </si>
  <si>
    <t xml:space="preserve">City Sample Variance = </t>
  </si>
  <si>
    <t>Provide a test of the hypothesis that the variances are equal versus the alternative hypothesis that the variance for City High Schools is larger at a significance level of 5% (α = 0.05)</t>
  </si>
  <si>
    <t>Za/2</t>
  </si>
  <si>
    <t>One tailed</t>
  </si>
  <si>
    <t>Za</t>
  </si>
  <si>
    <t>Reject H0</t>
  </si>
  <si>
    <t>Two tailed</t>
  </si>
  <si>
    <t>alpha</t>
  </si>
  <si>
    <t>Fail to Reject H0</t>
  </si>
  <si>
    <t>t(a/2,n-1)</t>
  </si>
  <si>
    <t>t(a,n-1)</t>
  </si>
  <si>
    <t>Two-tailed</t>
  </si>
  <si>
    <t>Fail to Reject</t>
  </si>
  <si>
    <t>Chi-Sq(a/2,n-1,upper)</t>
  </si>
  <si>
    <t>Chi-Sq(a/2,n-1,lower)</t>
  </si>
  <si>
    <t>One Tailed</t>
  </si>
  <si>
    <t>t(a/2,n1+n2-2)</t>
  </si>
  <si>
    <t>Pooled Variance</t>
  </si>
  <si>
    <t>t(a,n1+n2-2)</t>
  </si>
  <si>
    <t>Two-Tailed</t>
  </si>
  <si>
    <t>Pooled Proportion</t>
  </si>
  <si>
    <t>Two Tailed</t>
  </si>
  <si>
    <t>One Tailed F</t>
  </si>
  <si>
    <t>F(a,n_city-1,n_rural-1)</t>
  </si>
  <si>
    <t>Sample Sizes</t>
  </si>
  <si>
    <t>Assumed Degrees of Freedom m</t>
  </si>
  <si>
    <t>Among a random sample of Rural U.S. Counties and a second random sample of Urban U.S. Counties you are provided the sample statistics below related to the Growth Rate in Personal Income.  Assume the unknown population variances for these samples are NOT equal.  Use this information to answer questions (14) and (15).</t>
  </si>
  <si>
    <r>
      <t>14. Construct a 95% confidence interval (</t>
    </r>
    <r>
      <rPr>
        <sz val="12"/>
        <color theme="1"/>
        <rFont val="Calibri"/>
        <family val="2"/>
      </rPr>
      <t>α</t>
    </r>
    <r>
      <rPr>
        <sz val="12"/>
        <color theme="1"/>
        <rFont val="Times New Roman"/>
        <family val="1"/>
      </rPr>
      <t xml:space="preserve"> = 5%) for the difference in two population means (Rural mean minus the Urban mean).  </t>
    </r>
  </si>
  <si>
    <t>15. Test the null hypothesis that the difference in means is zero (Rural mean minus Urban mean equals zero), versus the alternative hypothesis that the difference is not zero at a confidence level of 95%  (α = 5%).</t>
  </si>
  <si>
    <t>t(a/2,m)</t>
  </si>
  <si>
    <r>
      <t>Sample 2 Population variance σ</t>
    </r>
    <r>
      <rPr>
        <vertAlign val="superscript"/>
        <sz val="12"/>
        <color theme="1"/>
        <rFont val="Times New Roman"/>
        <family val="1"/>
      </rPr>
      <t>2</t>
    </r>
    <r>
      <rPr>
        <vertAlign val="subscript"/>
        <sz val="12"/>
        <color theme="1"/>
        <rFont val="Times New Roman"/>
        <family val="1"/>
      </rPr>
      <t>y</t>
    </r>
    <r>
      <rPr>
        <sz val="12"/>
        <color theme="1"/>
        <rFont val="Times New Roman"/>
        <family val="1"/>
      </rPr>
      <t xml:space="preserve"> = </t>
    </r>
  </si>
  <si>
    <t>8. A sample of 19 Aggie freshmen was administered a driving test before and after drinking a 16 ounce beer (a Dependent Sample).  The table below provides the sample means and standard deviations for the driving scores before the beer, after the beer, and the differences in scores.</t>
  </si>
  <si>
    <t>Before</t>
  </si>
  <si>
    <t>After</t>
  </si>
  <si>
    <t>Difference</t>
  </si>
  <si>
    <t>Sample Mean</t>
  </si>
  <si>
    <t>Sample Std. Deviation</t>
  </si>
  <si>
    <t>Construct a 90% confidence interval (α=10%) for the the mean difference in scores.</t>
  </si>
  <si>
    <t>9. Test the null hypothesis that the mean difference is zero (mean Before minus After equals zero), versus the alternative hypothesis that the difference is not zero at a confidence level of 95%  (α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</si>
</sst>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 x14ac:knownFonts="1">
    <font>
      <sz val="11"/>
      <color theme="1"/>
      <name val="Calibri"/>
      <family val="2"/>
      <scheme val="minor"/>
    </font>
    <font>
      <sz val="12"/>
      <color theme="1"/>
      <name val="Times New Roman"/>
      <family val="1"/>
    </font>
    <font>
      <b/>
      <sz val="12"/>
      <color theme="1"/>
      <name val="Times New Roman"/>
      <family val="1"/>
    </font>
    <font>
      <vertAlign val="superscript"/>
      <sz val="12"/>
      <color theme="1"/>
      <name val="Times New Roman"/>
      <family val="1"/>
    </font>
    <font>
      <vertAlign val="subscript"/>
      <sz val="12"/>
      <color theme="1"/>
      <name val="Times New Roman"/>
      <family val="1"/>
    </font>
    <font>
      <sz val="12"/>
      <color theme="1"/>
      <name val="Calibri"/>
      <family val="2"/>
    </font>
    <font>
      <sz val="12"/>
      <color rgb="FF000000"/>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right" wrapText="1"/>
    </xf>
    <xf numFmtId="164" fontId="1" fillId="2" borderId="0" xfId="0" applyNumberFormat="1" applyFont="1" applyFill="1"/>
    <xf numFmtId="164" fontId="1" fillId="0" borderId="0" xfId="0" applyNumberFormat="1" applyFont="1"/>
    <xf numFmtId="0" fontId="1" fillId="0" borderId="0" xfId="0" applyFont="1" applyAlignment="1">
      <alignment horizontal="right"/>
    </xf>
    <xf numFmtId="0" fontId="6" fillId="0" borderId="0" xfId="0" applyFont="1" applyAlignment="1">
      <alignment horizontal="right" vertical="center" wrapText="1"/>
    </xf>
    <xf numFmtId="0" fontId="6" fillId="0" borderId="0" xfId="0" applyFont="1" applyAlignment="1">
      <alignment vertical="center" wrapText="1"/>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9A352-EEAE-48A5-A0E5-2249E16777E2}">
  <dimension ref="A1:E183"/>
  <sheetViews>
    <sheetView topLeftCell="A87" zoomScale="173" zoomScaleNormal="173" workbookViewId="0">
      <selection activeCell="A96" sqref="A96"/>
    </sheetView>
  </sheetViews>
  <sheetFormatPr defaultColWidth="9.140625" defaultRowHeight="15.75" x14ac:dyDescent="0.25"/>
  <cols>
    <col min="1" max="1" width="57.7109375" style="2" customWidth="1"/>
    <col min="2" max="3" width="17.7109375" style="1" customWidth="1"/>
    <col min="4" max="4" width="13.85546875" style="1" customWidth="1"/>
    <col min="5" max="16384" width="9.140625" style="1"/>
  </cols>
  <sheetData>
    <row r="1" spans="1:2" x14ac:dyDescent="0.25">
      <c r="A1" s="2" t="s">
        <v>2</v>
      </c>
    </row>
    <row r="2" spans="1:2" ht="63" x14ac:dyDescent="0.25">
      <c r="A2" s="2" t="s">
        <v>3</v>
      </c>
    </row>
    <row r="3" spans="1:2" x14ac:dyDescent="0.25">
      <c r="A3" s="2" t="s">
        <v>0</v>
      </c>
    </row>
    <row r="4" spans="1:2" x14ac:dyDescent="0.25">
      <c r="B4" s="1" t="s">
        <v>1</v>
      </c>
    </row>
    <row r="5" spans="1:2" ht="31.5" x14ac:dyDescent="0.25">
      <c r="A5" s="2" t="s">
        <v>33</v>
      </c>
    </row>
    <row r="6" spans="1:2" x14ac:dyDescent="0.25">
      <c r="A6" s="3" t="s">
        <v>4</v>
      </c>
      <c r="B6" s="1">
        <v>25</v>
      </c>
    </row>
    <row r="7" spans="1:2" x14ac:dyDescent="0.25">
      <c r="A7" s="3" t="s">
        <v>5</v>
      </c>
      <c r="B7" s="1">
        <v>36</v>
      </c>
    </row>
    <row r="8" spans="1:2" ht="18.75" x14ac:dyDescent="0.25">
      <c r="A8" s="3" t="s">
        <v>34</v>
      </c>
      <c r="B8" s="1">
        <v>81</v>
      </c>
    </row>
    <row r="9" spans="1:2" x14ac:dyDescent="0.25">
      <c r="A9" s="3" t="s">
        <v>26</v>
      </c>
      <c r="B9" s="1">
        <v>0.1</v>
      </c>
    </row>
    <row r="11" spans="1:2" ht="31.5" x14ac:dyDescent="0.25">
      <c r="A11" s="2" t="s">
        <v>27</v>
      </c>
    </row>
    <row r="12" spans="1:2" x14ac:dyDescent="0.25">
      <c r="A12" s="3" t="s">
        <v>6</v>
      </c>
      <c r="B12" s="4"/>
    </row>
    <row r="13" spans="1:2" x14ac:dyDescent="0.25">
      <c r="A13" s="3" t="s">
        <v>7</v>
      </c>
      <c r="B13" s="4"/>
    </row>
    <row r="14" spans="1:2" x14ac:dyDescent="0.25">
      <c r="A14" s="3" t="s">
        <v>8</v>
      </c>
      <c r="B14" s="4"/>
    </row>
    <row r="16" spans="1:2" ht="31.5" x14ac:dyDescent="0.25">
      <c r="A16" s="2" t="s">
        <v>35</v>
      </c>
    </row>
    <row r="17" spans="1:4" x14ac:dyDescent="0.25">
      <c r="A17" s="3" t="s">
        <v>4</v>
      </c>
      <c r="B17" s="1">
        <v>25</v>
      </c>
    </row>
    <row r="18" spans="1:4" x14ac:dyDescent="0.25">
      <c r="A18" s="3" t="s">
        <v>5</v>
      </c>
      <c r="B18" s="1">
        <v>36</v>
      </c>
    </row>
    <row r="19" spans="1:4" ht="18.75" x14ac:dyDescent="0.25">
      <c r="A19" s="3" t="s">
        <v>34</v>
      </c>
      <c r="B19" s="1">
        <v>81</v>
      </c>
    </row>
    <row r="20" spans="1:4" x14ac:dyDescent="0.25">
      <c r="A20" s="3" t="s">
        <v>26</v>
      </c>
      <c r="B20" s="1">
        <v>0.05</v>
      </c>
    </row>
    <row r="22" spans="1:4" ht="31.5" x14ac:dyDescent="0.25">
      <c r="A22" s="2" t="s">
        <v>28</v>
      </c>
    </row>
    <row r="23" spans="1:4" x14ac:dyDescent="0.25">
      <c r="A23" s="3" t="s">
        <v>9</v>
      </c>
      <c r="B23" s="4"/>
      <c r="D23" s="1" t="s">
        <v>12</v>
      </c>
    </row>
    <row r="24" spans="1:4" x14ac:dyDescent="0.25">
      <c r="A24" s="3" t="s">
        <v>10</v>
      </c>
      <c r="B24" s="4"/>
      <c r="D24" s="1" t="s">
        <v>13</v>
      </c>
    </row>
    <row r="25" spans="1:4" x14ac:dyDescent="0.25">
      <c r="A25" s="3" t="s">
        <v>11</v>
      </c>
      <c r="B25" s="4"/>
      <c r="D25" s="1" t="s">
        <v>14</v>
      </c>
    </row>
    <row r="27" spans="1:4" ht="31.5" x14ac:dyDescent="0.25">
      <c r="A27" s="2" t="s">
        <v>29</v>
      </c>
    </row>
    <row r="28" spans="1:4" x14ac:dyDescent="0.25">
      <c r="A28" s="3" t="s">
        <v>9</v>
      </c>
      <c r="B28" s="4"/>
    </row>
    <row r="29" spans="1:4" x14ac:dyDescent="0.25">
      <c r="A29" s="3" t="s">
        <v>10</v>
      </c>
      <c r="B29" s="4"/>
    </row>
    <row r="30" spans="1:4" x14ac:dyDescent="0.25">
      <c r="A30" s="3" t="s">
        <v>11</v>
      </c>
      <c r="B30" s="4"/>
    </row>
    <row r="32" spans="1:4" ht="31.5" x14ac:dyDescent="0.25">
      <c r="A32" s="2" t="s">
        <v>36</v>
      </c>
    </row>
    <row r="33" spans="1:2" x14ac:dyDescent="0.25">
      <c r="A33" s="3" t="s">
        <v>4</v>
      </c>
      <c r="B33" s="1">
        <v>77</v>
      </c>
    </row>
    <row r="34" spans="1:2" x14ac:dyDescent="0.25">
      <c r="A34" s="3" t="s">
        <v>5</v>
      </c>
      <c r="B34" s="1">
        <v>25</v>
      </c>
    </row>
    <row r="35" spans="1:2" x14ac:dyDescent="0.25">
      <c r="A35" s="3" t="s">
        <v>15</v>
      </c>
      <c r="B35" s="1">
        <v>5.5</v>
      </c>
    </row>
    <row r="36" spans="1:2" x14ac:dyDescent="0.25">
      <c r="A36" s="3" t="s">
        <v>26</v>
      </c>
      <c r="B36" s="1">
        <v>0.05</v>
      </c>
    </row>
    <row r="38" spans="1:2" ht="31.5" x14ac:dyDescent="0.25">
      <c r="A38" s="2" t="s">
        <v>30</v>
      </c>
    </row>
    <row r="39" spans="1:2" x14ac:dyDescent="0.25">
      <c r="A39" s="3" t="s">
        <v>6</v>
      </c>
      <c r="B39" s="4"/>
    </row>
    <row r="40" spans="1:2" x14ac:dyDescent="0.25">
      <c r="A40" s="3" t="s">
        <v>7</v>
      </c>
      <c r="B40" s="4"/>
    </row>
    <row r="41" spans="1:2" x14ac:dyDescent="0.25">
      <c r="A41" s="3" t="s">
        <v>8</v>
      </c>
      <c r="B41" s="4"/>
    </row>
    <row r="43" spans="1:2" ht="31.5" x14ac:dyDescent="0.25">
      <c r="A43" s="2" t="s">
        <v>37</v>
      </c>
    </row>
    <row r="44" spans="1:2" x14ac:dyDescent="0.25">
      <c r="A44" s="3" t="s">
        <v>4</v>
      </c>
      <c r="B44" s="1">
        <v>77</v>
      </c>
    </row>
    <row r="45" spans="1:2" x14ac:dyDescent="0.25">
      <c r="A45" s="3" t="s">
        <v>5</v>
      </c>
      <c r="B45" s="1">
        <v>25</v>
      </c>
    </row>
    <row r="46" spans="1:2" x14ac:dyDescent="0.25">
      <c r="A46" s="3" t="s">
        <v>15</v>
      </c>
      <c r="B46" s="1">
        <v>5.5</v>
      </c>
    </row>
    <row r="47" spans="1:2" x14ac:dyDescent="0.25">
      <c r="A47" s="3" t="s">
        <v>26</v>
      </c>
      <c r="B47" s="1">
        <v>0.05</v>
      </c>
    </row>
    <row r="49" spans="1:2" ht="31.5" x14ac:dyDescent="0.25">
      <c r="A49" s="2" t="s">
        <v>31</v>
      </c>
    </row>
    <row r="50" spans="1:2" x14ac:dyDescent="0.25">
      <c r="A50" s="3" t="s">
        <v>9</v>
      </c>
      <c r="B50" s="4"/>
    </row>
    <row r="51" spans="1:2" x14ac:dyDescent="0.25">
      <c r="A51" s="3" t="s">
        <v>10</v>
      </c>
      <c r="B51" s="4"/>
    </row>
    <row r="52" spans="1:2" x14ac:dyDescent="0.25">
      <c r="A52" s="3" t="s">
        <v>11</v>
      </c>
      <c r="B52" s="4"/>
    </row>
    <row r="54" spans="1:2" ht="31.5" x14ac:dyDescent="0.25">
      <c r="A54" s="2" t="s">
        <v>19</v>
      </c>
    </row>
    <row r="55" spans="1:2" x14ac:dyDescent="0.25">
      <c r="A55" s="3" t="s">
        <v>16</v>
      </c>
      <c r="B55" s="1">
        <v>0.33</v>
      </c>
    </row>
    <row r="56" spans="1:2" ht="15.75" customHeight="1" x14ac:dyDescent="0.25">
      <c r="A56" s="3" t="s">
        <v>17</v>
      </c>
      <c r="B56" s="1">
        <v>750</v>
      </c>
    </row>
    <row r="57" spans="1:2" x14ac:dyDescent="0.25">
      <c r="A57" s="3" t="s">
        <v>26</v>
      </c>
      <c r="B57" s="1">
        <v>0.05</v>
      </c>
    </row>
    <row r="59" spans="1:2" ht="31.5" x14ac:dyDescent="0.25">
      <c r="A59" s="2" t="s">
        <v>18</v>
      </c>
    </row>
    <row r="60" spans="1:2" x14ac:dyDescent="0.25">
      <c r="A60" s="3" t="s">
        <v>6</v>
      </c>
      <c r="B60" s="4"/>
    </row>
    <row r="61" spans="1:2" x14ac:dyDescent="0.25">
      <c r="A61" s="3" t="s">
        <v>7</v>
      </c>
      <c r="B61" s="4"/>
    </row>
    <row r="62" spans="1:2" x14ac:dyDescent="0.25">
      <c r="A62" s="3" t="s">
        <v>8</v>
      </c>
      <c r="B62" s="4"/>
    </row>
    <row r="64" spans="1:2" ht="31.5" x14ac:dyDescent="0.25">
      <c r="A64" s="2" t="s">
        <v>20</v>
      </c>
    </row>
    <row r="65" spans="1:2" x14ac:dyDescent="0.25">
      <c r="A65" s="3" t="s">
        <v>16</v>
      </c>
      <c r="B65" s="1">
        <v>0.33</v>
      </c>
    </row>
    <row r="66" spans="1:2" x14ac:dyDescent="0.25">
      <c r="A66" s="3" t="s">
        <v>17</v>
      </c>
      <c r="B66" s="1">
        <v>750</v>
      </c>
    </row>
    <row r="67" spans="1:2" x14ac:dyDescent="0.25">
      <c r="A67" s="3" t="s">
        <v>26</v>
      </c>
      <c r="B67" s="1">
        <v>0.05</v>
      </c>
    </row>
    <row r="69" spans="1:2" ht="31.5" x14ac:dyDescent="0.25">
      <c r="A69" s="2" t="s">
        <v>32</v>
      </c>
    </row>
    <row r="70" spans="1:2" x14ac:dyDescent="0.25">
      <c r="A70" s="3" t="s">
        <v>9</v>
      </c>
      <c r="B70" s="4"/>
    </row>
    <row r="71" spans="1:2" x14ac:dyDescent="0.25">
      <c r="A71" s="3" t="s">
        <v>10</v>
      </c>
      <c r="B71" s="4"/>
    </row>
    <row r="72" spans="1:2" x14ac:dyDescent="0.25">
      <c r="A72" s="3" t="s">
        <v>11</v>
      </c>
      <c r="B72" s="4"/>
    </row>
    <row r="74" spans="1:2" ht="47.25" x14ac:dyDescent="0.25">
      <c r="A74" s="2" t="s">
        <v>21</v>
      </c>
    </row>
    <row r="75" spans="1:2" x14ac:dyDescent="0.25">
      <c r="A75" s="3" t="s">
        <v>5</v>
      </c>
      <c r="B75" s="1">
        <v>17</v>
      </c>
    </row>
    <row r="76" spans="1:2" x14ac:dyDescent="0.25">
      <c r="A76" s="3" t="s">
        <v>15</v>
      </c>
      <c r="B76" s="1">
        <v>12</v>
      </c>
    </row>
    <row r="77" spans="1:2" x14ac:dyDescent="0.25">
      <c r="A77" s="3" t="s">
        <v>26</v>
      </c>
      <c r="B77" s="1">
        <v>0.02</v>
      </c>
    </row>
    <row r="79" spans="1:2" ht="34.5" x14ac:dyDescent="0.25">
      <c r="A79" s="2" t="s">
        <v>38</v>
      </c>
    </row>
    <row r="80" spans="1:2" x14ac:dyDescent="0.25">
      <c r="A80" s="3" t="s">
        <v>22</v>
      </c>
      <c r="B80" s="4"/>
    </row>
    <row r="81" spans="1:5" x14ac:dyDescent="0.25">
      <c r="A81" s="3" t="s">
        <v>23</v>
      </c>
      <c r="B81" s="4"/>
    </row>
    <row r="83" spans="1:5" ht="78.75" x14ac:dyDescent="0.25">
      <c r="A83" s="2" t="s">
        <v>102</v>
      </c>
    </row>
    <row r="84" spans="1:5" x14ac:dyDescent="0.25">
      <c r="A84" s="7"/>
      <c r="B84" s="8" t="s">
        <v>103</v>
      </c>
      <c r="C84" s="8" t="s">
        <v>104</v>
      </c>
      <c r="D84" s="8" t="s">
        <v>105</v>
      </c>
    </row>
    <row r="85" spans="1:5" x14ac:dyDescent="0.25">
      <c r="A85" s="7" t="s">
        <v>106</v>
      </c>
      <c r="B85" s="7">
        <v>72.7</v>
      </c>
      <c r="C85" s="7">
        <v>71.849999999999994</v>
      </c>
      <c r="D85" s="7">
        <v>0.85</v>
      </c>
    </row>
    <row r="86" spans="1:5" x14ac:dyDescent="0.25">
      <c r="A86" s="7" t="s">
        <v>107</v>
      </c>
      <c r="B86" s="7">
        <v>15.545999999999999</v>
      </c>
      <c r="C86" s="7">
        <v>17.489000000000001</v>
      </c>
      <c r="D86" s="7">
        <v>1.9430000000000001</v>
      </c>
    </row>
    <row r="88" spans="1:5" ht="31.5" x14ac:dyDescent="0.25">
      <c r="A88" s="2" t="s">
        <v>108</v>
      </c>
    </row>
    <row r="89" spans="1:5" x14ac:dyDescent="0.25">
      <c r="A89" s="3" t="s">
        <v>6</v>
      </c>
      <c r="B89" s="9"/>
      <c r="D89" s="1">
        <f>(D86/SQRT(19))*E89</f>
        <v>0.77296712571203874</v>
      </c>
      <c r="E89" s="1">
        <f>_xlfn.T.INV(0.95,18)</f>
        <v>1.7340636066175383</v>
      </c>
    </row>
    <row r="90" spans="1:5" x14ac:dyDescent="0.25">
      <c r="A90" s="3" t="s">
        <v>7</v>
      </c>
      <c r="B90" s="9"/>
      <c r="D90" s="1">
        <f>D85/(D86/SQRT(19))</f>
        <v>1.9068780761757966</v>
      </c>
    </row>
    <row r="91" spans="1:5" x14ac:dyDescent="0.25">
      <c r="A91" s="3" t="s">
        <v>8</v>
      </c>
      <c r="B91" s="9"/>
    </row>
    <row r="93" spans="1:5" ht="63" x14ac:dyDescent="0.25">
      <c r="A93" s="2" t="s">
        <v>109</v>
      </c>
    </row>
    <row r="94" spans="1:5" x14ac:dyDescent="0.25">
      <c r="A94" s="3" t="s">
        <v>9</v>
      </c>
      <c r="B94" s="9"/>
    </row>
    <row r="95" spans="1:5" x14ac:dyDescent="0.25">
      <c r="A95" s="3" t="s">
        <v>10</v>
      </c>
      <c r="B95" s="9"/>
    </row>
    <row r="96" spans="1:5" x14ac:dyDescent="0.25">
      <c r="A96" s="3" t="s">
        <v>11</v>
      </c>
      <c r="B96" s="9"/>
    </row>
    <row r="99" spans="1:2" ht="63" x14ac:dyDescent="0.25">
      <c r="A99" s="2" t="s">
        <v>45</v>
      </c>
    </row>
    <row r="100" spans="1:2" x14ac:dyDescent="0.25">
      <c r="A100" s="3" t="s">
        <v>24</v>
      </c>
      <c r="B100" s="1">
        <v>300</v>
      </c>
    </row>
    <row r="101" spans="1:2" ht="20.25" x14ac:dyDescent="0.35">
      <c r="A101" s="3" t="s">
        <v>39</v>
      </c>
      <c r="B101" s="1">
        <v>100</v>
      </c>
    </row>
    <row r="102" spans="1:2" ht="18.75" x14ac:dyDescent="0.35">
      <c r="A102" s="3" t="s">
        <v>40</v>
      </c>
      <c r="B102" s="1">
        <v>30</v>
      </c>
    </row>
    <row r="103" spans="1:2" x14ac:dyDescent="0.25">
      <c r="A103" s="3" t="s">
        <v>25</v>
      </c>
      <c r="B103" s="1">
        <v>305</v>
      </c>
    </row>
    <row r="104" spans="1:2" ht="20.25" x14ac:dyDescent="0.35">
      <c r="A104" s="3" t="s">
        <v>101</v>
      </c>
      <c r="B104" s="1">
        <v>105</v>
      </c>
    </row>
    <row r="105" spans="1:2" ht="18.75" x14ac:dyDescent="0.35">
      <c r="A105" s="3" t="s">
        <v>42</v>
      </c>
      <c r="B105" s="1">
        <v>25</v>
      </c>
    </row>
    <row r="106" spans="1:2" x14ac:dyDescent="0.25">
      <c r="A106" s="3" t="s">
        <v>26</v>
      </c>
      <c r="B106" s="1">
        <v>0.05</v>
      </c>
    </row>
    <row r="108" spans="1:2" ht="34.5" x14ac:dyDescent="0.35">
      <c r="A108" s="2" t="s">
        <v>43</v>
      </c>
    </row>
    <row r="109" spans="1:2" x14ac:dyDescent="0.25">
      <c r="A109" s="3" t="s">
        <v>6</v>
      </c>
      <c r="B109" s="4"/>
    </row>
    <row r="110" spans="1:2" x14ac:dyDescent="0.25">
      <c r="A110" s="3" t="s">
        <v>7</v>
      </c>
      <c r="B110" s="4"/>
    </row>
    <row r="111" spans="1:2" x14ac:dyDescent="0.25">
      <c r="A111" s="3" t="s">
        <v>8</v>
      </c>
      <c r="B111" s="4"/>
    </row>
    <row r="113" spans="1:2" ht="80.25" customHeight="1" x14ac:dyDescent="0.25">
      <c r="A113" s="2" t="s">
        <v>44</v>
      </c>
    </row>
    <row r="114" spans="1:2" x14ac:dyDescent="0.25">
      <c r="A114" s="3" t="s">
        <v>9</v>
      </c>
      <c r="B114" s="4"/>
    </row>
    <row r="115" spans="1:2" x14ac:dyDescent="0.25">
      <c r="A115" s="3" t="s">
        <v>10</v>
      </c>
      <c r="B115" s="4"/>
    </row>
    <row r="116" spans="1:2" x14ac:dyDescent="0.25">
      <c r="A116" s="3" t="s">
        <v>11</v>
      </c>
      <c r="B116" s="4"/>
    </row>
    <row r="118" spans="1:2" ht="63" x14ac:dyDescent="0.25">
      <c r="A118" s="2" t="s">
        <v>48</v>
      </c>
    </row>
    <row r="119" spans="1:2" x14ac:dyDescent="0.25">
      <c r="A119" s="3" t="s">
        <v>46</v>
      </c>
      <c r="B119" s="1">
        <v>24</v>
      </c>
    </row>
    <row r="120" spans="1:2" x14ac:dyDescent="0.25">
      <c r="A120" s="3" t="s">
        <v>47</v>
      </c>
      <c r="B120" s="1">
        <v>9.5</v>
      </c>
    </row>
    <row r="121" spans="1:2" x14ac:dyDescent="0.25">
      <c r="A121" s="3" t="s">
        <v>49</v>
      </c>
      <c r="B121" s="1">
        <v>28</v>
      </c>
    </row>
    <row r="122" spans="1:2" x14ac:dyDescent="0.25">
      <c r="A122" s="3" t="s">
        <v>50</v>
      </c>
      <c r="B122" s="1">
        <v>10.7</v>
      </c>
    </row>
    <row r="123" spans="1:2" x14ac:dyDescent="0.25">
      <c r="A123" s="3" t="s">
        <v>26</v>
      </c>
      <c r="B123" s="1">
        <v>0.01</v>
      </c>
    </row>
    <row r="125" spans="1:2" ht="79.5" customHeight="1" x14ac:dyDescent="0.25">
      <c r="A125" s="2" t="s">
        <v>52</v>
      </c>
    </row>
    <row r="126" spans="1:2" x14ac:dyDescent="0.25">
      <c r="A126" s="3" t="s">
        <v>51</v>
      </c>
      <c r="B126" s="4"/>
    </row>
    <row r="128" spans="1:2" ht="94.5" x14ac:dyDescent="0.25">
      <c r="A128" s="2" t="s">
        <v>57</v>
      </c>
    </row>
    <row r="129" spans="1:3" x14ac:dyDescent="0.25">
      <c r="B129" s="1" t="s">
        <v>54</v>
      </c>
      <c r="C129" s="1" t="s">
        <v>55</v>
      </c>
    </row>
    <row r="130" spans="1:3" x14ac:dyDescent="0.25">
      <c r="A130" s="3" t="s">
        <v>53</v>
      </c>
      <c r="B130" s="1">
        <v>4.0999999999999996</v>
      </c>
      <c r="C130" s="1">
        <v>6.7</v>
      </c>
    </row>
    <row r="131" spans="1:3" x14ac:dyDescent="0.25">
      <c r="A131" s="3" t="s">
        <v>56</v>
      </c>
      <c r="B131" s="1">
        <v>6.45</v>
      </c>
      <c r="C131" s="1">
        <v>5.42</v>
      </c>
    </row>
    <row r="132" spans="1:3" x14ac:dyDescent="0.25">
      <c r="A132" s="3" t="s">
        <v>58</v>
      </c>
      <c r="B132" s="1">
        <v>35</v>
      </c>
      <c r="C132" s="1">
        <v>47</v>
      </c>
    </row>
    <row r="134" spans="1:3" ht="59.25" customHeight="1" x14ac:dyDescent="0.25">
      <c r="A134" s="2" t="s">
        <v>59</v>
      </c>
    </row>
    <row r="135" spans="1:3" x14ac:dyDescent="0.25">
      <c r="A135" s="3" t="s">
        <v>6</v>
      </c>
      <c r="B135" s="4"/>
    </row>
    <row r="136" spans="1:3" x14ac:dyDescent="0.25">
      <c r="A136" s="3" t="s">
        <v>7</v>
      </c>
      <c r="B136" s="4"/>
    </row>
    <row r="137" spans="1:3" x14ac:dyDescent="0.25">
      <c r="A137" s="3" t="s">
        <v>8</v>
      </c>
      <c r="B137" s="4"/>
    </row>
    <row r="139" spans="1:3" ht="71.25" customHeight="1" x14ac:dyDescent="0.25">
      <c r="A139" s="2" t="s">
        <v>60</v>
      </c>
    </row>
    <row r="140" spans="1:3" x14ac:dyDescent="0.25">
      <c r="A140" s="3" t="s">
        <v>9</v>
      </c>
      <c r="B140" s="4"/>
    </row>
    <row r="141" spans="1:3" x14ac:dyDescent="0.25">
      <c r="A141" s="3" t="s">
        <v>10</v>
      </c>
      <c r="B141" s="4"/>
    </row>
    <row r="142" spans="1:3" x14ac:dyDescent="0.25">
      <c r="A142" s="3" t="s">
        <v>11</v>
      </c>
      <c r="B142" s="4"/>
    </row>
    <row r="144" spans="1:3" ht="63" x14ac:dyDescent="0.25">
      <c r="A144" s="2" t="s">
        <v>66</v>
      </c>
    </row>
    <row r="145" spans="1:2" x14ac:dyDescent="0.25">
      <c r="A145" s="3" t="s">
        <v>61</v>
      </c>
      <c r="B145" s="1">
        <v>0.47</v>
      </c>
    </row>
    <row r="146" spans="1:2" x14ac:dyDescent="0.25">
      <c r="A146" s="3" t="s">
        <v>62</v>
      </c>
      <c r="B146" s="1">
        <v>750</v>
      </c>
    </row>
    <row r="147" spans="1:2" x14ac:dyDescent="0.25">
      <c r="A147" s="3" t="s">
        <v>63</v>
      </c>
      <c r="B147" s="1">
        <v>0.41</v>
      </c>
    </row>
    <row r="148" spans="1:2" x14ac:dyDescent="0.25">
      <c r="A148" s="3" t="s">
        <v>64</v>
      </c>
      <c r="B148" s="1">
        <v>625</v>
      </c>
    </row>
    <row r="149" spans="1:2" x14ac:dyDescent="0.25">
      <c r="A149" s="3" t="s">
        <v>26</v>
      </c>
      <c r="B149" s="1">
        <v>0.02</v>
      </c>
    </row>
    <row r="150" spans="1:2" x14ac:dyDescent="0.25">
      <c r="A150" s="3"/>
    </row>
    <row r="151" spans="1:2" ht="48.75" customHeight="1" x14ac:dyDescent="0.25">
      <c r="A151" s="2" t="s">
        <v>65</v>
      </c>
    </row>
    <row r="152" spans="1:2" x14ac:dyDescent="0.25">
      <c r="A152" s="3" t="s">
        <v>9</v>
      </c>
      <c r="B152" s="4"/>
    </row>
    <row r="153" spans="1:2" x14ac:dyDescent="0.25">
      <c r="A153" s="3" t="s">
        <v>10</v>
      </c>
      <c r="B153" s="4"/>
    </row>
    <row r="154" spans="1:2" x14ac:dyDescent="0.25">
      <c r="A154" s="3" t="s">
        <v>11</v>
      </c>
      <c r="B154" s="4"/>
    </row>
    <row r="156" spans="1:2" ht="47.25" x14ac:dyDescent="0.25">
      <c r="A156" s="2" t="s">
        <v>67</v>
      </c>
    </row>
    <row r="157" spans="1:2" x14ac:dyDescent="0.25">
      <c r="A157" s="3" t="s">
        <v>71</v>
      </c>
      <c r="B157">
        <v>11150</v>
      </c>
    </row>
    <row r="158" spans="1:2" x14ac:dyDescent="0.25">
      <c r="A158" s="3" t="s">
        <v>70</v>
      </c>
      <c r="B158">
        <v>37</v>
      </c>
    </row>
    <row r="159" spans="1:2" x14ac:dyDescent="0.25">
      <c r="A159" s="3" t="s">
        <v>69</v>
      </c>
      <c r="B159">
        <v>6690</v>
      </c>
    </row>
    <row r="160" spans="1:2" x14ac:dyDescent="0.25">
      <c r="A160" s="3" t="s">
        <v>68</v>
      </c>
      <c r="B160">
        <v>51</v>
      </c>
    </row>
    <row r="161" spans="1:3" x14ac:dyDescent="0.25">
      <c r="A161" s="3" t="s">
        <v>26</v>
      </c>
      <c r="B161" s="1">
        <v>0.05</v>
      </c>
    </row>
    <row r="163" spans="1:3" ht="47.25" x14ac:dyDescent="0.25">
      <c r="A163" s="2" t="s">
        <v>72</v>
      </c>
    </row>
    <row r="164" spans="1:3" x14ac:dyDescent="0.25">
      <c r="A164" s="3" t="s">
        <v>9</v>
      </c>
      <c r="B164" s="4"/>
    </row>
    <row r="165" spans="1:3" x14ac:dyDescent="0.25">
      <c r="A165" s="3" t="s">
        <v>10</v>
      </c>
      <c r="B165" s="4"/>
    </row>
    <row r="166" spans="1:3" x14ac:dyDescent="0.25">
      <c r="A166" s="3" t="s">
        <v>11</v>
      </c>
      <c r="B166" s="4"/>
    </row>
    <row r="168" spans="1:3" ht="94.5" x14ac:dyDescent="0.25">
      <c r="A168" s="2" t="s">
        <v>97</v>
      </c>
      <c r="B168" s="5"/>
      <c r="C168" s="5"/>
    </row>
    <row r="169" spans="1:3" x14ac:dyDescent="0.25">
      <c r="A169" s="1"/>
      <c r="B169" s="5" t="s">
        <v>54</v>
      </c>
      <c r="C169" s="5" t="s">
        <v>55</v>
      </c>
    </row>
    <row r="170" spans="1:3" x14ac:dyDescent="0.25">
      <c r="A170" s="6" t="s">
        <v>53</v>
      </c>
      <c r="B170" s="1">
        <v>2.19</v>
      </c>
      <c r="C170" s="1">
        <v>2.5</v>
      </c>
    </row>
    <row r="171" spans="1:3" x14ac:dyDescent="0.25">
      <c r="A171" s="6" t="s">
        <v>56</v>
      </c>
      <c r="B171" s="1">
        <v>1.22</v>
      </c>
      <c r="C171" s="1">
        <v>1.06</v>
      </c>
    </row>
    <row r="172" spans="1:3" x14ac:dyDescent="0.25">
      <c r="A172" s="6" t="s">
        <v>95</v>
      </c>
      <c r="B172" s="1">
        <v>119</v>
      </c>
      <c r="C172" s="1">
        <v>93</v>
      </c>
    </row>
    <row r="173" spans="1:3" x14ac:dyDescent="0.25">
      <c r="A173" s="6" t="s">
        <v>96</v>
      </c>
      <c r="B173" s="1">
        <v>193</v>
      </c>
    </row>
    <row r="174" spans="1:3" x14ac:dyDescent="0.25">
      <c r="A174" s="1"/>
      <c r="B174" s="5"/>
      <c r="C174" s="5"/>
    </row>
    <row r="175" spans="1:3" ht="47.25" x14ac:dyDescent="0.25">
      <c r="A175" s="2" t="s">
        <v>98</v>
      </c>
      <c r="B175" s="5"/>
      <c r="C175" s="5"/>
    </row>
    <row r="176" spans="1:3" x14ac:dyDescent="0.25">
      <c r="A176" s="3" t="s">
        <v>6</v>
      </c>
      <c r="B176" s="4"/>
      <c r="C176" s="5"/>
    </row>
    <row r="177" spans="1:3" x14ac:dyDescent="0.25">
      <c r="A177" s="3" t="s">
        <v>7</v>
      </c>
      <c r="B177" s="4"/>
      <c r="C177" s="5"/>
    </row>
    <row r="178" spans="1:3" x14ac:dyDescent="0.25">
      <c r="A178" s="3" t="s">
        <v>8</v>
      </c>
      <c r="B178" s="4"/>
      <c r="C178" s="5"/>
    </row>
    <row r="179" spans="1:3" x14ac:dyDescent="0.25">
      <c r="A179" s="1"/>
      <c r="B179" s="5"/>
      <c r="C179" s="5"/>
    </row>
    <row r="180" spans="1:3" ht="63" x14ac:dyDescent="0.25">
      <c r="A180" s="2" t="s">
        <v>99</v>
      </c>
      <c r="B180" s="5"/>
      <c r="C180" s="5"/>
    </row>
    <row r="181" spans="1:3" x14ac:dyDescent="0.25">
      <c r="A181" s="3" t="s">
        <v>9</v>
      </c>
      <c r="B181" s="4"/>
      <c r="C181" s="5"/>
    </row>
    <row r="182" spans="1:3" x14ac:dyDescent="0.25">
      <c r="A182" s="3" t="s">
        <v>10</v>
      </c>
      <c r="B182" s="4"/>
      <c r="C182" s="5"/>
    </row>
    <row r="183" spans="1:3" x14ac:dyDescent="0.25">
      <c r="A183" s="3" t="s">
        <v>11</v>
      </c>
      <c r="B183" s="4"/>
      <c r="C183" s="5"/>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44383-4416-4F7E-9457-DD0CA7709B46}">
  <dimension ref="A1:F167"/>
  <sheetViews>
    <sheetView tabSelected="1" workbookViewId="0">
      <selection activeCell="G166" sqref="G166"/>
    </sheetView>
  </sheetViews>
  <sheetFormatPr defaultColWidth="9.140625" defaultRowHeight="15.75" x14ac:dyDescent="0.25"/>
  <cols>
    <col min="1" max="1" width="57.7109375" style="2" customWidth="1"/>
    <col min="2" max="3" width="17.7109375" style="1" customWidth="1"/>
    <col min="4" max="4" width="9.140625" style="1"/>
    <col min="5" max="5" width="9.5703125" style="1" bestFit="1" customWidth="1"/>
    <col min="6" max="16384" width="9.140625" style="1"/>
  </cols>
  <sheetData>
    <row r="1" spans="1:5" x14ac:dyDescent="0.25">
      <c r="A1" s="2" t="s">
        <v>2</v>
      </c>
    </row>
    <row r="2" spans="1:5" ht="63" x14ac:dyDescent="0.25">
      <c r="A2" s="2" t="s">
        <v>3</v>
      </c>
    </row>
    <row r="3" spans="1:5" x14ac:dyDescent="0.25">
      <c r="A3" s="2" t="s">
        <v>0</v>
      </c>
    </row>
    <row r="4" spans="1:5" x14ac:dyDescent="0.25">
      <c r="B4" s="1" t="s">
        <v>1</v>
      </c>
    </row>
    <row r="5" spans="1:5" ht="31.5" x14ac:dyDescent="0.25">
      <c r="A5" s="2" t="s">
        <v>33</v>
      </c>
    </row>
    <row r="6" spans="1:5" x14ac:dyDescent="0.25">
      <c r="A6" s="3" t="s">
        <v>4</v>
      </c>
      <c r="B6" s="1">
        <v>25</v>
      </c>
    </row>
    <row r="7" spans="1:5" x14ac:dyDescent="0.25">
      <c r="A7" s="3" t="s">
        <v>5</v>
      </c>
      <c r="B7" s="1">
        <v>36</v>
      </c>
    </row>
    <row r="8" spans="1:5" ht="18.75" x14ac:dyDescent="0.25">
      <c r="A8" s="3" t="s">
        <v>34</v>
      </c>
      <c r="B8" s="1">
        <v>81</v>
      </c>
    </row>
    <row r="9" spans="1:5" x14ac:dyDescent="0.25">
      <c r="A9" s="3" t="s">
        <v>26</v>
      </c>
      <c r="B9" s="1">
        <v>0.1</v>
      </c>
    </row>
    <row r="10" spans="1:5" x14ac:dyDescent="0.25">
      <c r="D10" s="1" t="s">
        <v>73</v>
      </c>
      <c r="E10" s="1">
        <f>_xlfn.NORM.S.INV(1-(B9/2))</f>
        <v>1.6448536269514715</v>
      </c>
    </row>
    <row r="11" spans="1:5" ht="31.5" x14ac:dyDescent="0.25">
      <c r="A11" s="2" t="s">
        <v>27</v>
      </c>
    </row>
    <row r="12" spans="1:5" x14ac:dyDescent="0.25">
      <c r="A12" s="3" t="s">
        <v>6</v>
      </c>
      <c r="B12" s="4">
        <f>E10*SQRT(B8/B7)</f>
        <v>2.4672804404272073</v>
      </c>
    </row>
    <row r="13" spans="1:5" x14ac:dyDescent="0.25">
      <c r="A13" s="3" t="s">
        <v>7</v>
      </c>
      <c r="B13" s="4">
        <f>B6-B12</f>
        <v>22.532719559572794</v>
      </c>
    </row>
    <row r="14" spans="1:5" x14ac:dyDescent="0.25">
      <c r="A14" s="3" t="s">
        <v>8</v>
      </c>
      <c r="B14" s="4">
        <f>B6+B12</f>
        <v>27.467280440427206</v>
      </c>
    </row>
    <row r="16" spans="1:5" ht="31.5" x14ac:dyDescent="0.25">
      <c r="A16" s="2" t="s">
        <v>35</v>
      </c>
    </row>
    <row r="17" spans="1:6" x14ac:dyDescent="0.25">
      <c r="A17" s="3" t="s">
        <v>4</v>
      </c>
      <c r="B17" s="1">
        <v>25</v>
      </c>
    </row>
    <row r="18" spans="1:6" x14ac:dyDescent="0.25">
      <c r="A18" s="3" t="s">
        <v>5</v>
      </c>
      <c r="B18" s="1">
        <v>36</v>
      </c>
    </row>
    <row r="19" spans="1:6" ht="18.75" x14ac:dyDescent="0.25">
      <c r="A19" s="3" t="s">
        <v>34</v>
      </c>
      <c r="B19" s="1">
        <v>81</v>
      </c>
    </row>
    <row r="20" spans="1:6" x14ac:dyDescent="0.25">
      <c r="A20" s="3" t="s">
        <v>26</v>
      </c>
      <c r="B20" s="1">
        <v>0.05</v>
      </c>
      <c r="D20" s="1" t="s">
        <v>74</v>
      </c>
    </row>
    <row r="21" spans="1:6" x14ac:dyDescent="0.25">
      <c r="D21" s="1" t="s">
        <v>75</v>
      </c>
      <c r="E21" s="1">
        <f>_xlfn.NORM.S.INV(1-B20)</f>
        <v>1.6448536269514715</v>
      </c>
    </row>
    <row r="22" spans="1:6" ht="31.5" x14ac:dyDescent="0.25">
      <c r="A22" s="2" t="s">
        <v>28</v>
      </c>
    </row>
    <row r="23" spans="1:6" x14ac:dyDescent="0.25">
      <c r="A23" s="3" t="s">
        <v>9</v>
      </c>
      <c r="B23" s="4">
        <f>(B17-27.5)/SQRT(B19/B18)</f>
        <v>-1.6666666666666667</v>
      </c>
      <c r="D23" s="1" t="s">
        <v>12</v>
      </c>
    </row>
    <row r="24" spans="1:6" x14ac:dyDescent="0.25">
      <c r="A24" s="3" t="s">
        <v>10</v>
      </c>
      <c r="B24" s="4">
        <f>E21</f>
        <v>1.6448536269514715</v>
      </c>
      <c r="D24" s="1" t="s">
        <v>13</v>
      </c>
    </row>
    <row r="25" spans="1:6" x14ac:dyDescent="0.25">
      <c r="A25" s="3" t="s">
        <v>11</v>
      </c>
      <c r="B25" s="4" t="s">
        <v>76</v>
      </c>
      <c r="D25" s="1" t="s">
        <v>14</v>
      </c>
    </row>
    <row r="27" spans="1:6" ht="31.5" x14ac:dyDescent="0.25">
      <c r="A27" s="2" t="s">
        <v>29</v>
      </c>
      <c r="D27" s="1" t="s">
        <v>78</v>
      </c>
      <c r="E27" s="1" t="s">
        <v>77</v>
      </c>
    </row>
    <row r="28" spans="1:6" x14ac:dyDescent="0.25">
      <c r="A28" s="3" t="s">
        <v>9</v>
      </c>
      <c r="B28" s="4">
        <f>(B17-27.5)/SQRT(B19/B18)</f>
        <v>-1.6666666666666667</v>
      </c>
      <c r="D28" s="1">
        <v>0.05</v>
      </c>
      <c r="E28" s="1" t="s">
        <v>73</v>
      </c>
      <c r="F28" s="1">
        <f>_xlfn.NORM.S.INV(1-D28/2)</f>
        <v>1.9599639845400536</v>
      </c>
    </row>
    <row r="29" spans="1:6" x14ac:dyDescent="0.25">
      <c r="A29" s="3" t="s">
        <v>10</v>
      </c>
      <c r="B29" s="4">
        <f>F28</f>
        <v>1.9599639845400536</v>
      </c>
    </row>
    <row r="30" spans="1:6" x14ac:dyDescent="0.25">
      <c r="A30" s="3" t="s">
        <v>11</v>
      </c>
      <c r="B30" s="4" t="s">
        <v>79</v>
      </c>
    </row>
    <row r="32" spans="1:6" ht="31.5" x14ac:dyDescent="0.25">
      <c r="A32" s="2" t="s">
        <v>36</v>
      </c>
    </row>
    <row r="33" spans="1:5" x14ac:dyDescent="0.25">
      <c r="A33" s="3" t="s">
        <v>4</v>
      </c>
      <c r="B33" s="1">
        <v>77</v>
      </c>
    </row>
    <row r="34" spans="1:5" x14ac:dyDescent="0.25">
      <c r="A34" s="3" t="s">
        <v>5</v>
      </c>
      <c r="B34" s="1">
        <v>25</v>
      </c>
    </row>
    <row r="35" spans="1:5" x14ac:dyDescent="0.25">
      <c r="A35" s="3" t="s">
        <v>15</v>
      </c>
      <c r="B35" s="1">
        <v>5.5</v>
      </c>
    </row>
    <row r="36" spans="1:5" x14ac:dyDescent="0.25">
      <c r="A36" s="3" t="s">
        <v>26</v>
      </c>
      <c r="B36" s="1">
        <v>0.05</v>
      </c>
      <c r="D36" s="1" t="s">
        <v>80</v>
      </c>
    </row>
    <row r="37" spans="1:5" x14ac:dyDescent="0.25">
      <c r="D37" s="1">
        <f>_xlfn.T.INV(1-(B36/2),B34-1)</f>
        <v>2.0638985616280254</v>
      </c>
    </row>
    <row r="38" spans="1:5" ht="31.5" x14ac:dyDescent="0.25">
      <c r="A38" s="2" t="s">
        <v>30</v>
      </c>
    </row>
    <row r="39" spans="1:5" x14ac:dyDescent="0.25">
      <c r="A39" s="3" t="s">
        <v>6</v>
      </c>
      <c r="B39" s="4">
        <f>D37*B35/SQRT(B34)</f>
        <v>2.270288417790828</v>
      </c>
    </row>
    <row r="40" spans="1:5" x14ac:dyDescent="0.25">
      <c r="A40" s="3" t="s">
        <v>7</v>
      </c>
      <c r="B40" s="4">
        <f>B33-B39</f>
        <v>74.729711582209177</v>
      </c>
    </row>
    <row r="41" spans="1:5" x14ac:dyDescent="0.25">
      <c r="A41" s="3" t="s">
        <v>8</v>
      </c>
      <c r="B41" s="4">
        <f>B33+B39</f>
        <v>79.270288417790823</v>
      </c>
    </row>
    <row r="43" spans="1:5" ht="31.5" x14ac:dyDescent="0.25">
      <c r="A43" s="2" t="s">
        <v>37</v>
      </c>
    </row>
    <row r="44" spans="1:5" x14ac:dyDescent="0.25">
      <c r="A44" s="3" t="s">
        <v>4</v>
      </c>
      <c r="B44" s="1">
        <v>77</v>
      </c>
    </row>
    <row r="45" spans="1:5" x14ac:dyDescent="0.25">
      <c r="A45" s="3" t="s">
        <v>5</v>
      </c>
      <c r="B45" s="1">
        <v>25</v>
      </c>
    </row>
    <row r="46" spans="1:5" x14ac:dyDescent="0.25">
      <c r="A46" s="3" t="s">
        <v>15</v>
      </c>
      <c r="B46" s="1">
        <v>5.5</v>
      </c>
    </row>
    <row r="47" spans="1:5" x14ac:dyDescent="0.25">
      <c r="A47" s="3" t="s">
        <v>26</v>
      </c>
      <c r="B47" s="1">
        <v>0.05</v>
      </c>
      <c r="D47" s="1" t="s">
        <v>74</v>
      </c>
    </row>
    <row r="48" spans="1:5" x14ac:dyDescent="0.25">
      <c r="D48" s="1" t="s">
        <v>81</v>
      </c>
      <c r="E48" s="1">
        <f>_xlfn.T.INV(1-B47,B45-1)</f>
        <v>1.7108820799094284</v>
      </c>
    </row>
    <row r="49" spans="1:5" ht="31.5" x14ac:dyDescent="0.25">
      <c r="A49" s="2" t="s">
        <v>31</v>
      </c>
    </row>
    <row r="50" spans="1:5" x14ac:dyDescent="0.25">
      <c r="A50" s="3" t="s">
        <v>9</v>
      </c>
      <c r="B50" s="4">
        <f>(B44-75)/(B46/SQRT(B45))</f>
        <v>1.8181818181818181</v>
      </c>
    </row>
    <row r="51" spans="1:5" x14ac:dyDescent="0.25">
      <c r="A51" s="3" t="s">
        <v>10</v>
      </c>
      <c r="B51" s="4">
        <f>E48</f>
        <v>1.7108820799094284</v>
      </c>
    </row>
    <row r="52" spans="1:5" x14ac:dyDescent="0.25">
      <c r="A52" s="3" t="s">
        <v>11</v>
      </c>
      <c r="B52" s="4" t="s">
        <v>76</v>
      </c>
    </row>
    <row r="54" spans="1:5" ht="31.5" x14ac:dyDescent="0.25">
      <c r="A54" s="2" t="s">
        <v>19</v>
      </c>
    </row>
    <row r="55" spans="1:5" x14ac:dyDescent="0.25">
      <c r="A55" s="3" t="s">
        <v>16</v>
      </c>
      <c r="B55" s="1">
        <v>0.33</v>
      </c>
    </row>
    <row r="56" spans="1:5" ht="15.75" customHeight="1" x14ac:dyDescent="0.25">
      <c r="A56" s="3" t="s">
        <v>17</v>
      </c>
      <c r="B56" s="1">
        <v>750</v>
      </c>
    </row>
    <row r="57" spans="1:5" x14ac:dyDescent="0.25">
      <c r="A57" s="3" t="s">
        <v>26</v>
      </c>
      <c r="B57" s="1">
        <v>0.05</v>
      </c>
    </row>
    <row r="58" spans="1:5" x14ac:dyDescent="0.25">
      <c r="D58" s="1" t="s">
        <v>73</v>
      </c>
      <c r="E58" s="1">
        <f>_xlfn.NORM.S.INV(1-(B57/2))</f>
        <v>1.9599639845400536</v>
      </c>
    </row>
    <row r="59" spans="1:5" ht="31.5" x14ac:dyDescent="0.25">
      <c r="A59" s="2" t="s">
        <v>18</v>
      </c>
    </row>
    <row r="60" spans="1:5" x14ac:dyDescent="0.25">
      <c r="A60" s="3" t="s">
        <v>6</v>
      </c>
      <c r="B60" s="4">
        <f>E58*SQRT(B55*(1-B55)/B56)</f>
        <v>3.3652073641019915E-2</v>
      </c>
    </row>
    <row r="61" spans="1:5" x14ac:dyDescent="0.25">
      <c r="A61" s="3" t="s">
        <v>7</v>
      </c>
      <c r="B61" s="4">
        <f>B55-B60</f>
        <v>0.29634792635898011</v>
      </c>
    </row>
    <row r="62" spans="1:5" x14ac:dyDescent="0.25">
      <c r="A62" s="3" t="s">
        <v>8</v>
      </c>
      <c r="B62" s="4">
        <f>B55+B60</f>
        <v>0.36365207364101992</v>
      </c>
    </row>
    <row r="64" spans="1:5" ht="31.5" x14ac:dyDescent="0.25">
      <c r="A64" s="2" t="s">
        <v>20</v>
      </c>
    </row>
    <row r="65" spans="1:5" x14ac:dyDescent="0.25">
      <c r="A65" s="3" t="s">
        <v>16</v>
      </c>
      <c r="B65" s="1">
        <v>0.33</v>
      </c>
    </row>
    <row r="66" spans="1:5" x14ac:dyDescent="0.25">
      <c r="A66" s="3" t="s">
        <v>17</v>
      </c>
      <c r="B66" s="1">
        <v>750</v>
      </c>
    </row>
    <row r="67" spans="1:5" x14ac:dyDescent="0.25">
      <c r="A67" s="3" t="s">
        <v>26</v>
      </c>
      <c r="B67" s="1">
        <v>0.05</v>
      </c>
      <c r="D67" s="1" t="s">
        <v>82</v>
      </c>
    </row>
    <row r="68" spans="1:5" x14ac:dyDescent="0.25">
      <c r="D68" s="1" t="s">
        <v>73</v>
      </c>
      <c r="E68" s="1">
        <f>_xlfn.NORM.S.INV(1-(B67/2))</f>
        <v>1.9599639845400536</v>
      </c>
    </row>
    <row r="69" spans="1:5" ht="31.5" x14ac:dyDescent="0.25">
      <c r="A69" s="2" t="s">
        <v>32</v>
      </c>
    </row>
    <row r="70" spans="1:5" x14ac:dyDescent="0.25">
      <c r="A70" s="3" t="s">
        <v>9</v>
      </c>
      <c r="B70" s="4">
        <f>(B65-0.3)/SQRT(0.3*(1-0.3)/B66)</f>
        <v>1.7928429140015922</v>
      </c>
    </row>
    <row r="71" spans="1:5" x14ac:dyDescent="0.25">
      <c r="A71" s="3" t="s">
        <v>10</v>
      </c>
      <c r="B71" s="4">
        <f>E68</f>
        <v>1.9599639845400536</v>
      </c>
    </row>
    <row r="72" spans="1:5" x14ac:dyDescent="0.25">
      <c r="A72" s="3" t="s">
        <v>11</v>
      </c>
      <c r="B72" s="4" t="s">
        <v>83</v>
      </c>
    </row>
    <row r="74" spans="1:5" ht="47.25" x14ac:dyDescent="0.25">
      <c r="A74" s="2" t="s">
        <v>21</v>
      </c>
    </row>
    <row r="75" spans="1:5" x14ac:dyDescent="0.25">
      <c r="A75" s="3" t="s">
        <v>5</v>
      </c>
      <c r="B75" s="1">
        <v>17</v>
      </c>
    </row>
    <row r="76" spans="1:5" x14ac:dyDescent="0.25">
      <c r="A76" s="3" t="s">
        <v>15</v>
      </c>
      <c r="B76" s="1">
        <v>12</v>
      </c>
    </row>
    <row r="77" spans="1:5" x14ac:dyDescent="0.25">
      <c r="A77" s="3" t="s">
        <v>26</v>
      </c>
      <c r="B77" s="1">
        <v>0.02</v>
      </c>
      <c r="C77" s="1" t="s">
        <v>84</v>
      </c>
      <c r="E77" s="1">
        <f>_xlfn.CHISQ.INV(1-(B77/2),B75-1)</f>
        <v>31.999926908815176</v>
      </c>
    </row>
    <row r="78" spans="1:5" x14ac:dyDescent="0.25">
      <c r="C78" s="1" t="s">
        <v>85</v>
      </c>
      <c r="E78" s="1">
        <f>_xlfn.CHISQ.INV(B77/2,B75-1)</f>
        <v>5.8122124701349653</v>
      </c>
    </row>
    <row r="79" spans="1:5" ht="34.5" x14ac:dyDescent="0.25">
      <c r="A79" s="2" t="s">
        <v>38</v>
      </c>
    </row>
    <row r="80" spans="1:5" x14ac:dyDescent="0.25">
      <c r="A80" s="3" t="s">
        <v>22</v>
      </c>
      <c r="B80" s="4">
        <f>((B75-1)*B76^2)/E77</f>
        <v>72.00016445554148</v>
      </c>
    </row>
    <row r="81" spans="1:5" x14ac:dyDescent="0.25">
      <c r="A81" s="3" t="s">
        <v>23</v>
      </c>
      <c r="B81" s="4">
        <f>((B75-1)*B76^2)/E78</f>
        <v>396.40670602437541</v>
      </c>
    </row>
    <row r="83" spans="1:5" ht="63" x14ac:dyDescent="0.25">
      <c r="A83" s="2" t="s">
        <v>45</v>
      </c>
    </row>
    <row r="84" spans="1:5" x14ac:dyDescent="0.25">
      <c r="A84" s="3" t="s">
        <v>24</v>
      </c>
      <c r="B84" s="1">
        <v>300</v>
      </c>
    </row>
    <row r="85" spans="1:5" ht="20.25" x14ac:dyDescent="0.35">
      <c r="A85" s="3" t="s">
        <v>39</v>
      </c>
      <c r="B85" s="1">
        <v>100</v>
      </c>
    </row>
    <row r="86" spans="1:5" ht="18.75" x14ac:dyDescent="0.35">
      <c r="A86" s="3" t="s">
        <v>40</v>
      </c>
      <c r="B86" s="1">
        <v>30</v>
      </c>
    </row>
    <row r="87" spans="1:5" x14ac:dyDescent="0.25">
      <c r="A87" s="3" t="s">
        <v>25</v>
      </c>
      <c r="B87" s="1">
        <v>305</v>
      </c>
    </row>
    <row r="88" spans="1:5" ht="20.25" x14ac:dyDescent="0.35">
      <c r="A88" s="3" t="s">
        <v>41</v>
      </c>
      <c r="B88" s="1">
        <v>105</v>
      </c>
    </row>
    <row r="89" spans="1:5" ht="18.75" x14ac:dyDescent="0.35">
      <c r="A89" s="3" t="s">
        <v>42</v>
      </c>
      <c r="B89" s="1">
        <v>25</v>
      </c>
    </row>
    <row r="90" spans="1:5" x14ac:dyDescent="0.25">
      <c r="A90" s="3" t="s">
        <v>26</v>
      </c>
      <c r="B90" s="1">
        <v>0.05</v>
      </c>
    </row>
    <row r="91" spans="1:5" x14ac:dyDescent="0.25">
      <c r="D91" s="1" t="s">
        <v>73</v>
      </c>
      <c r="E91" s="1">
        <f>_xlfn.NORM.S.INV(1-(B90/2))</f>
        <v>1.9599639845400536</v>
      </c>
    </row>
    <row r="92" spans="1:5" ht="34.5" x14ac:dyDescent="0.35">
      <c r="A92" s="2" t="s">
        <v>43</v>
      </c>
    </row>
    <row r="93" spans="1:5" x14ac:dyDescent="0.25">
      <c r="A93" s="3" t="s">
        <v>6</v>
      </c>
      <c r="B93" s="4">
        <f>E91*SQRT((B85/B86)+(B88/B89))</f>
        <v>5.3794971681898298</v>
      </c>
    </row>
    <row r="94" spans="1:5" x14ac:dyDescent="0.25">
      <c r="A94" s="3" t="s">
        <v>7</v>
      </c>
      <c r="B94" s="4">
        <f>(B84-B87)-B93</f>
        <v>-10.379497168189829</v>
      </c>
    </row>
    <row r="95" spans="1:5" x14ac:dyDescent="0.25">
      <c r="A95" s="3" t="s">
        <v>8</v>
      </c>
      <c r="B95" s="4">
        <f>(B84-B87)+B93</f>
        <v>0.37949716818982981</v>
      </c>
    </row>
    <row r="97" spans="1:6" ht="78.75" x14ac:dyDescent="0.25">
      <c r="A97" s="2" t="s">
        <v>44</v>
      </c>
      <c r="D97" s="1" t="s">
        <v>86</v>
      </c>
    </row>
    <row r="98" spans="1:6" x14ac:dyDescent="0.25">
      <c r="A98" s="3" t="s">
        <v>9</v>
      </c>
      <c r="B98" s="4">
        <f>(B84-B87)/SQRT((B85/B86)+(B88/B89))</f>
        <v>-1.8216981283397258</v>
      </c>
      <c r="D98" s="1" t="s">
        <v>75</v>
      </c>
      <c r="E98" s="1">
        <f>_xlfn.NORM.S.INV(1-B90)</f>
        <v>1.6448536269514715</v>
      </c>
    </row>
    <row r="99" spans="1:6" x14ac:dyDescent="0.25">
      <c r="A99" s="3" t="s">
        <v>10</v>
      </c>
      <c r="B99" s="4">
        <f>E98</f>
        <v>1.6448536269514715</v>
      </c>
    </row>
    <row r="100" spans="1:6" x14ac:dyDescent="0.25">
      <c r="A100" s="3" t="s">
        <v>11</v>
      </c>
      <c r="B100" s="4" t="s">
        <v>76</v>
      </c>
    </row>
    <row r="102" spans="1:6" ht="63" x14ac:dyDescent="0.25">
      <c r="A102" s="2" t="s">
        <v>48</v>
      </c>
    </row>
    <row r="103" spans="1:6" x14ac:dyDescent="0.25">
      <c r="A103" s="3" t="s">
        <v>46</v>
      </c>
      <c r="B103" s="1">
        <v>24</v>
      </c>
    </row>
    <row r="104" spans="1:6" x14ac:dyDescent="0.25">
      <c r="A104" s="3" t="s">
        <v>47</v>
      </c>
      <c r="B104" s="1">
        <v>9.5</v>
      </c>
    </row>
    <row r="105" spans="1:6" x14ac:dyDescent="0.25">
      <c r="A105" s="3" t="s">
        <v>49</v>
      </c>
      <c r="B105" s="1">
        <v>28</v>
      </c>
    </row>
    <row r="106" spans="1:6" x14ac:dyDescent="0.25">
      <c r="A106" s="3" t="s">
        <v>50</v>
      </c>
      <c r="B106" s="1">
        <v>10.7</v>
      </c>
    </row>
    <row r="107" spans="1:6" x14ac:dyDescent="0.25">
      <c r="A107" s="3" t="s">
        <v>26</v>
      </c>
      <c r="B107" s="1">
        <v>0.01</v>
      </c>
      <c r="C107" s="1" t="s">
        <v>86</v>
      </c>
      <c r="F107" s="1" t="s">
        <v>88</v>
      </c>
    </row>
    <row r="108" spans="1:6" x14ac:dyDescent="0.25">
      <c r="C108" s="1" t="s">
        <v>89</v>
      </c>
      <c r="D108" s="1">
        <f>_xlfn.T.INV(1-B107,B103+B105-2)</f>
        <v>2.4032719166741709</v>
      </c>
      <c r="F108" s="1">
        <f>(((B103-1)*B104^2)+((B105-1)*B106^2))/(B103+B105-2)</f>
        <v>103.33959999999999</v>
      </c>
    </row>
    <row r="109" spans="1:6" ht="63" x14ac:dyDescent="0.25">
      <c r="A109" s="2" t="s">
        <v>52</v>
      </c>
    </row>
    <row r="110" spans="1:6" x14ac:dyDescent="0.25">
      <c r="A110" s="3" t="s">
        <v>51</v>
      </c>
      <c r="B110" s="4">
        <f>D108*SQRT(F108*((1/B103)+(1/B105)))</f>
        <v>6.7959994482092583</v>
      </c>
    </row>
    <row r="112" spans="1:6" ht="94.5" x14ac:dyDescent="0.25">
      <c r="A112" s="2" t="s">
        <v>57</v>
      </c>
    </row>
    <row r="113" spans="1:5" x14ac:dyDescent="0.25">
      <c r="B113" s="1" t="s">
        <v>54</v>
      </c>
      <c r="C113" s="1" t="s">
        <v>55</v>
      </c>
      <c r="E113" s="1" t="s">
        <v>88</v>
      </c>
    </row>
    <row r="114" spans="1:5" x14ac:dyDescent="0.25">
      <c r="A114" s="3" t="s">
        <v>53</v>
      </c>
      <c r="B114" s="1">
        <v>4.0999999999999996</v>
      </c>
      <c r="C114" s="1">
        <v>6.7</v>
      </c>
      <c r="E114" s="1">
        <f>(((B116-1)*B115^2)+((C116-1)*C115^2))/(B116+C116-2)</f>
        <v>34.572492499999996</v>
      </c>
    </row>
    <row r="115" spans="1:5" x14ac:dyDescent="0.25">
      <c r="A115" s="3" t="s">
        <v>56</v>
      </c>
      <c r="B115" s="1">
        <v>6.45</v>
      </c>
      <c r="C115" s="1">
        <v>5.42</v>
      </c>
    </row>
    <row r="116" spans="1:5" x14ac:dyDescent="0.25">
      <c r="A116" s="3" t="s">
        <v>58</v>
      </c>
      <c r="B116" s="1">
        <v>35</v>
      </c>
      <c r="C116" s="1">
        <v>47</v>
      </c>
    </row>
    <row r="118" spans="1:5" ht="47.25" x14ac:dyDescent="0.25">
      <c r="A118" s="2" t="s">
        <v>59</v>
      </c>
      <c r="D118" s="1" t="s">
        <v>78</v>
      </c>
      <c r="E118" s="1">
        <v>0.05</v>
      </c>
    </row>
    <row r="119" spans="1:5" x14ac:dyDescent="0.25">
      <c r="A119" s="3" t="s">
        <v>6</v>
      </c>
      <c r="B119" s="4">
        <f>E119*SQRT(E114*((1/B116)+(1/C116)))</f>
        <v>2.6124996307433928</v>
      </c>
      <c r="C119" s="1" t="s">
        <v>87</v>
      </c>
      <c r="E119" s="1">
        <f>_xlfn.T.INV(1-(E118/2),B116+C116-2)</f>
        <v>1.9900634212544475</v>
      </c>
    </row>
    <row r="120" spans="1:5" x14ac:dyDescent="0.25">
      <c r="A120" s="3" t="s">
        <v>7</v>
      </c>
      <c r="B120" s="4">
        <f>B114-C114-B119</f>
        <v>-5.2124996307433928</v>
      </c>
    </row>
    <row r="121" spans="1:5" x14ac:dyDescent="0.25">
      <c r="A121" s="3" t="s">
        <v>8</v>
      </c>
      <c r="B121" s="4">
        <f>B114-C114+B119</f>
        <v>1.249963074339222E-2</v>
      </c>
    </row>
    <row r="123" spans="1:5" ht="63" x14ac:dyDescent="0.25">
      <c r="A123" s="2" t="s">
        <v>60</v>
      </c>
      <c r="D123" s="1" t="s">
        <v>90</v>
      </c>
    </row>
    <row r="124" spans="1:5" x14ac:dyDescent="0.25">
      <c r="A124" s="3" t="s">
        <v>9</v>
      </c>
      <c r="B124" s="4">
        <f>(B114-C114)/SQRT(E114*((1/B116)+(1/C116)))</f>
        <v>-1.980541866637219</v>
      </c>
      <c r="C124" s="1" t="s">
        <v>87</v>
      </c>
      <c r="D124" s="1">
        <f>E119</f>
        <v>1.9900634212544475</v>
      </c>
    </row>
    <row r="125" spans="1:5" x14ac:dyDescent="0.25">
      <c r="A125" s="3" t="s">
        <v>10</v>
      </c>
      <c r="B125" s="4">
        <f>D124</f>
        <v>1.9900634212544475</v>
      </c>
    </row>
    <row r="126" spans="1:5" x14ac:dyDescent="0.25">
      <c r="A126" s="3" t="s">
        <v>11</v>
      </c>
      <c r="B126" s="4" t="s">
        <v>79</v>
      </c>
    </row>
    <row r="128" spans="1:5" ht="63" x14ac:dyDescent="0.25">
      <c r="A128" s="2" t="s">
        <v>66</v>
      </c>
    </row>
    <row r="129" spans="1:5" x14ac:dyDescent="0.25">
      <c r="A129" s="3" t="s">
        <v>61</v>
      </c>
      <c r="B129" s="1">
        <v>0.47</v>
      </c>
    </row>
    <row r="130" spans="1:5" x14ac:dyDescent="0.25">
      <c r="A130" s="3" t="s">
        <v>62</v>
      </c>
      <c r="B130" s="1">
        <v>750</v>
      </c>
    </row>
    <row r="131" spans="1:5" x14ac:dyDescent="0.25">
      <c r="A131" s="3" t="s">
        <v>63</v>
      </c>
      <c r="B131" s="1">
        <v>0.41</v>
      </c>
    </row>
    <row r="132" spans="1:5" x14ac:dyDescent="0.25">
      <c r="A132" s="3" t="s">
        <v>64</v>
      </c>
      <c r="B132" s="1">
        <v>625</v>
      </c>
      <c r="D132" s="1" t="s">
        <v>91</v>
      </c>
    </row>
    <row r="133" spans="1:5" x14ac:dyDescent="0.25">
      <c r="A133" s="3" t="s">
        <v>26</v>
      </c>
      <c r="B133" s="1">
        <v>0.02</v>
      </c>
      <c r="D133" s="1">
        <f>((B129*B130)+(B131*B132))/(B130+B132)</f>
        <v>0.44272727272727275</v>
      </c>
    </row>
    <row r="135" spans="1:5" ht="48.75" customHeight="1" x14ac:dyDescent="0.25">
      <c r="A135" s="2" t="s">
        <v>65</v>
      </c>
      <c r="D135" s="1" t="s">
        <v>92</v>
      </c>
    </row>
    <row r="136" spans="1:5" x14ac:dyDescent="0.25">
      <c r="A136" s="3" t="s">
        <v>9</v>
      </c>
      <c r="B136" s="4">
        <f>(B129-B131)/SQRT(D133*(1-D133)*((1/B130)+(1/B132)))</f>
        <v>2.2303268307334885</v>
      </c>
      <c r="D136" s="1" t="s">
        <v>73</v>
      </c>
      <c r="E136" s="1">
        <f>_xlfn.NORM.S.INV(1-B133/2)</f>
        <v>2.3263478740408408</v>
      </c>
    </row>
    <row r="137" spans="1:5" x14ac:dyDescent="0.25">
      <c r="A137" s="3" t="s">
        <v>10</v>
      </c>
      <c r="B137" s="4">
        <f>E136</f>
        <v>2.3263478740408408</v>
      </c>
    </row>
    <row r="138" spans="1:5" x14ac:dyDescent="0.25">
      <c r="A138" s="3" t="s">
        <v>11</v>
      </c>
      <c r="B138" s="4" t="s">
        <v>79</v>
      </c>
    </row>
    <row r="140" spans="1:5" ht="47.25" x14ac:dyDescent="0.25">
      <c r="A140" s="2" t="s">
        <v>67</v>
      </c>
    </row>
    <row r="141" spans="1:5" x14ac:dyDescent="0.25">
      <c r="A141" s="3" t="s">
        <v>71</v>
      </c>
      <c r="B141">
        <v>11150</v>
      </c>
    </row>
    <row r="142" spans="1:5" x14ac:dyDescent="0.25">
      <c r="A142" s="3" t="s">
        <v>70</v>
      </c>
      <c r="B142">
        <v>37</v>
      </c>
    </row>
    <row r="143" spans="1:5" x14ac:dyDescent="0.25">
      <c r="A143" s="3" t="s">
        <v>69</v>
      </c>
      <c r="B143">
        <v>6690</v>
      </c>
    </row>
    <row r="144" spans="1:5" x14ac:dyDescent="0.25">
      <c r="A144" s="3" t="s">
        <v>68</v>
      </c>
      <c r="B144">
        <v>51</v>
      </c>
    </row>
    <row r="145" spans="1:5" x14ac:dyDescent="0.25">
      <c r="A145" s="3" t="s">
        <v>26</v>
      </c>
      <c r="B145" s="1">
        <v>0.05</v>
      </c>
    </row>
    <row r="147" spans="1:5" ht="47.25" x14ac:dyDescent="0.25">
      <c r="A147" s="2" t="s">
        <v>72</v>
      </c>
      <c r="D147" s="1" t="s">
        <v>93</v>
      </c>
    </row>
    <row r="148" spans="1:5" x14ac:dyDescent="0.25">
      <c r="A148" s="3" t="s">
        <v>9</v>
      </c>
      <c r="B148" s="4">
        <f>B141/B143</f>
        <v>1.6666666666666667</v>
      </c>
      <c r="D148" s="1" t="s">
        <v>94</v>
      </c>
    </row>
    <row r="149" spans="1:5" x14ac:dyDescent="0.25">
      <c r="A149" s="3" t="s">
        <v>10</v>
      </c>
      <c r="B149" s="4">
        <f>D149</f>
        <v>1.651954502864627</v>
      </c>
      <c r="D149" s="1">
        <f>_xlfn.F.INV(1-B145,B142-1,B144-1)</f>
        <v>1.651954502864627</v>
      </c>
    </row>
    <row r="150" spans="1:5" x14ac:dyDescent="0.25">
      <c r="A150" s="3" t="s">
        <v>11</v>
      </c>
      <c r="B150" s="4" t="s">
        <v>76</v>
      </c>
    </row>
    <row r="152" spans="1:5" ht="94.5" x14ac:dyDescent="0.25">
      <c r="A152" s="2" t="s">
        <v>97</v>
      </c>
      <c r="B152" s="5"/>
      <c r="C152" s="5"/>
      <c r="D152" s="5"/>
      <c r="E152" s="5"/>
    </row>
    <row r="153" spans="1:5" x14ac:dyDescent="0.25">
      <c r="A153" s="1"/>
      <c r="B153" s="5" t="s">
        <v>54</v>
      </c>
      <c r="C153" s="5" t="s">
        <v>55</v>
      </c>
      <c r="D153" s="5"/>
      <c r="E153" s="5"/>
    </row>
    <row r="154" spans="1:5" x14ac:dyDescent="0.25">
      <c r="A154" s="6" t="s">
        <v>53</v>
      </c>
      <c r="B154" s="1">
        <v>2.19</v>
      </c>
      <c r="C154" s="1">
        <v>2.5</v>
      </c>
      <c r="D154" s="5"/>
      <c r="E154" s="5"/>
    </row>
    <row r="155" spans="1:5" x14ac:dyDescent="0.25">
      <c r="A155" s="6" t="s">
        <v>56</v>
      </c>
      <c r="B155" s="1">
        <v>1.22</v>
      </c>
      <c r="C155" s="1">
        <v>1.06</v>
      </c>
      <c r="D155" s="5"/>
      <c r="E155" s="5"/>
    </row>
    <row r="156" spans="1:5" x14ac:dyDescent="0.25">
      <c r="A156" s="6" t="s">
        <v>95</v>
      </c>
      <c r="B156" s="1">
        <v>119</v>
      </c>
      <c r="C156" s="1">
        <v>93</v>
      </c>
      <c r="D156" s="5"/>
      <c r="E156" s="5"/>
    </row>
    <row r="157" spans="1:5" x14ac:dyDescent="0.25">
      <c r="A157" s="6" t="s">
        <v>96</v>
      </c>
      <c r="B157" s="1">
        <v>193</v>
      </c>
      <c r="D157" s="5"/>
      <c r="E157" s="5"/>
    </row>
    <row r="158" spans="1:5" x14ac:dyDescent="0.25">
      <c r="A158" s="1"/>
      <c r="B158" s="5"/>
      <c r="C158" s="5"/>
      <c r="D158" s="5"/>
      <c r="E158" s="5"/>
    </row>
    <row r="159" spans="1:5" ht="47.25" x14ac:dyDescent="0.25">
      <c r="A159" s="2" t="s">
        <v>98</v>
      </c>
      <c r="B159" s="5"/>
      <c r="C159" s="5"/>
      <c r="D159" s="5"/>
      <c r="E159" s="5"/>
    </row>
    <row r="160" spans="1:5" x14ac:dyDescent="0.25">
      <c r="A160" s="3" t="s">
        <v>6</v>
      </c>
      <c r="B160" s="4">
        <f>E161*SQRT(((B155^2)/B156)+((C155^2)/C156))</f>
        <v>0.30928074744581374</v>
      </c>
      <c r="C160" s="5"/>
      <c r="D160" s="5" t="s">
        <v>78</v>
      </c>
      <c r="E160" s="5">
        <v>0.05</v>
      </c>
    </row>
    <row r="161" spans="1:5" x14ac:dyDescent="0.25">
      <c r="A161" s="3" t="s">
        <v>7</v>
      </c>
      <c r="B161" s="4">
        <f>(B154-C154)-B160</f>
        <v>-0.61928074744581374</v>
      </c>
      <c r="C161" s="5"/>
      <c r="D161" s="5" t="s">
        <v>100</v>
      </c>
      <c r="E161" s="5">
        <f>_xlfn.T.INV(1-E160/2,B157)</f>
        <v>1.972331675795749</v>
      </c>
    </row>
    <row r="162" spans="1:5" x14ac:dyDescent="0.25">
      <c r="A162" s="3" t="s">
        <v>8</v>
      </c>
      <c r="B162" s="4">
        <f>(B154-C154)+B160</f>
        <v>-7.1925255418631151E-4</v>
      </c>
      <c r="C162" s="5"/>
      <c r="D162" s="5"/>
      <c r="E162" s="5"/>
    </row>
    <row r="163" spans="1:5" x14ac:dyDescent="0.25">
      <c r="A163" s="1"/>
      <c r="B163" s="5"/>
      <c r="C163" s="5"/>
      <c r="D163" s="5"/>
      <c r="E163" s="5"/>
    </row>
    <row r="164" spans="1:5" ht="63" x14ac:dyDescent="0.25">
      <c r="A164" s="2" t="s">
        <v>99</v>
      </c>
      <c r="B164" s="5"/>
      <c r="C164" s="5"/>
      <c r="D164" s="5"/>
      <c r="E164" s="5"/>
    </row>
    <row r="165" spans="1:5" x14ac:dyDescent="0.25">
      <c r="A165" s="3" t="s">
        <v>9</v>
      </c>
      <c r="B165" s="4">
        <f>(B154-C154)/SQRT(((B155^2)/B156)+((C155^2)/C156))</f>
        <v>-1.9769184617733249</v>
      </c>
      <c r="C165" s="5"/>
      <c r="D165" s="5" t="s">
        <v>78</v>
      </c>
      <c r="E165" s="5">
        <v>0.05</v>
      </c>
    </row>
    <row r="166" spans="1:5" x14ac:dyDescent="0.25">
      <c r="A166" s="3" t="s">
        <v>10</v>
      </c>
      <c r="B166" s="4">
        <f>E166</f>
        <v>1.972331675795749</v>
      </c>
      <c r="C166" s="5"/>
      <c r="D166" s="5" t="s">
        <v>100</v>
      </c>
      <c r="E166" s="5">
        <f>_xlfn.T.INV(1-E165/2,B157)</f>
        <v>1.972331675795749</v>
      </c>
    </row>
    <row r="167" spans="1:5" x14ac:dyDescent="0.25">
      <c r="A167" s="3" t="s">
        <v>11</v>
      </c>
      <c r="B167" s="4" t="s">
        <v>76</v>
      </c>
      <c r="C167" s="5"/>
      <c r="D167" s="5"/>
      <c r="E167" s="5"/>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Problems</vt:lpstr>
      <vt:lpstr>Solutions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dcterms:created xsi:type="dcterms:W3CDTF">2022-10-11T15:06:27Z</dcterms:created>
  <dcterms:modified xsi:type="dcterms:W3CDTF">2024-03-06T20:10:24Z</dcterms:modified>
</cp:coreProperties>
</file>